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607" activeTab="0"/>
  </bookViews>
  <sheets>
    <sheet name="ALLEGATO A" sheetId="1" r:id="rId1"/>
    <sheet name="ALLEGATO B" sheetId="2" r:id="rId2"/>
    <sheet name="ALLEGATO C" sheetId="3" r:id="rId3"/>
  </sheets>
  <definedNames/>
  <calcPr fullCalcOnLoad="1"/>
</workbook>
</file>

<file path=xl/sharedStrings.xml><?xml version="1.0" encoding="utf-8"?>
<sst xmlns="http://schemas.openxmlformats.org/spreadsheetml/2006/main" count="415" uniqueCount="287">
  <si>
    <t>Articolo</t>
  </si>
  <si>
    <t>INDICAZIONE DEI LAVORI</t>
  </si>
  <si>
    <t>U.m.</t>
  </si>
  <si>
    <t>INCIDENZE %SUL TOTALE</t>
  </si>
  <si>
    <t xml:space="preserve">QUANTITA' </t>
  </si>
  <si>
    <t>ALLEGATO A)</t>
  </si>
  <si>
    <t>D.01.010.05</t>
  </si>
  <si>
    <t>SCAVO DI SBANCAMENTO</t>
  </si>
  <si>
    <t>mc.</t>
  </si>
  <si>
    <t>D.02.005</t>
  </si>
  <si>
    <t>E.03.150.05</t>
  </si>
  <si>
    <t>ml.</t>
  </si>
  <si>
    <t>E.03.150.10</t>
  </si>
  <si>
    <t>N.01.230</t>
  </si>
  <si>
    <t>LAVORO DI ABBATTIMENTO ALBERI</t>
  </si>
  <si>
    <t>cad.</t>
  </si>
  <si>
    <t>O.05.040.05</t>
  </si>
  <si>
    <t>mq.</t>
  </si>
  <si>
    <t>O.06.050.05</t>
  </si>
  <si>
    <t>RIMOZIONE DI BINARI FERROVIARI E TRANVIARI</t>
  </si>
  <si>
    <t>LIEVO DI TABELLONI PUBBLICITARI DELLE DIMENSIONI COMPRESE TRA 2 E 4 mq. E LORO DEPOSITO NELL'AMBITO DEL CANTIERE SUCCESSIVA POSA IN OPERA O IN LOCALITA' INDICATA DALLA D.L.</t>
  </si>
  <si>
    <t>O.06.100.15</t>
  </si>
  <si>
    <t>X.03.015</t>
  </si>
  <si>
    <t>LIEVO DI IMPIANTI SEGNALETICI E DEPOSITO NEI FONDI COMUNALI</t>
  </si>
  <si>
    <t>pz.</t>
  </si>
  <si>
    <t>P.01.030.05</t>
  </si>
  <si>
    <t>P.01.030.15</t>
  </si>
  <si>
    <t>P.01.030.35</t>
  </si>
  <si>
    <t>P.02.030.05</t>
  </si>
  <si>
    <t>P.02.050.05</t>
  </si>
  <si>
    <t>P.02.120.05</t>
  </si>
  <si>
    <t>P.02.130.05</t>
  </si>
  <si>
    <t>O.02.005.05</t>
  </si>
  <si>
    <t>O.02.010.05</t>
  </si>
  <si>
    <t>CINDRATURE VARIE CON RULLO COMPRESSORE DA 8-10 TONN.</t>
  </si>
  <si>
    <t>O.02.010.10</t>
  </si>
  <si>
    <t>CINDRATURE VARIE CON RULLO COMPRESSORE DA 16-18 TONN.</t>
  </si>
  <si>
    <t>O.02.020.10</t>
  </si>
  <si>
    <t>O.02.090.15</t>
  </si>
  <si>
    <t>PAVIMENTAZIONE IN LASTRICO DI PIETRA ARENARIA</t>
  </si>
  <si>
    <t>O.03.020.10</t>
  </si>
  <si>
    <t>SOTTOFONDO DI MARCIAPIEDE IN CALCESTRUZZO SPESSORE cm. 15</t>
  </si>
  <si>
    <t>O.03.040.10</t>
  </si>
  <si>
    <t>TAPPETO DI MALTA BITUMINOSA</t>
  </si>
  <si>
    <t>O.03.070.05</t>
  </si>
  <si>
    <t>POSA IN OPERA DI CORDONATA IN PIETRA DA RECUPERO</t>
  </si>
  <si>
    <t>O.03.070.10</t>
  </si>
  <si>
    <t>POSA IN OPERA DI CORDONATA IN PIETRA DI NUOVA FORNITURA</t>
  </si>
  <si>
    <t>O.03.090.05</t>
  </si>
  <si>
    <t>FORNITURA DI CORDONATA DIRITTA IN PIETRA ARENARIA SEZIONE 15/25</t>
  </si>
  <si>
    <t>FORNITURA DI CORDONATA CURVA IN PIETRA ARENARIA SEZIONE 15/25</t>
  </si>
  <si>
    <t>O.03.090.10</t>
  </si>
  <si>
    <t>A RIPORTARE LAVORI A CORPO</t>
  </si>
  <si>
    <t>RIPORTO LAVORI A CORPO</t>
  </si>
  <si>
    <t>FORNITURA DI TERRA VEGETALE</t>
  </si>
  <si>
    <t>LAVORI A MISURA:</t>
  </si>
  <si>
    <t>TOTALE</t>
  </si>
  <si>
    <t>ALLEGATO B)</t>
  </si>
  <si>
    <t>Modello guida per l'analisi dei prezzi</t>
  </si>
  <si>
    <t>N.EPU</t>
  </si>
  <si>
    <t>Descrizione della lavorazione prevista nell'Elenco descrittivo delle lavorazioni</t>
  </si>
  <si>
    <t>N.M.</t>
  </si>
  <si>
    <t>N.</t>
  </si>
  <si>
    <t>Elementi dell'analisi</t>
  </si>
  <si>
    <t>U.M.</t>
  </si>
  <si>
    <t>Quantità</t>
  </si>
  <si>
    <t>Prezzo</t>
  </si>
  <si>
    <t>Importo</t>
  </si>
  <si>
    <t>Inc. %</t>
  </si>
  <si>
    <t>Manodopera</t>
  </si>
  <si>
    <t>1.1</t>
  </si>
  <si>
    <t>a. operaio specializzato</t>
  </si>
  <si>
    <t>1.2</t>
  </si>
  <si>
    <t>b. operaio qualificato</t>
  </si>
  <si>
    <t>1.3</t>
  </si>
  <si>
    <t>c. operaio comune</t>
  </si>
  <si>
    <t>2</t>
  </si>
  <si>
    <t>Materiali a piè d'opera</t>
  </si>
  <si>
    <t>2.n</t>
  </si>
  <si>
    <t>n. componente n.mo</t>
  </si>
  <si>
    <t>3</t>
  </si>
  <si>
    <t>Noleggi</t>
  </si>
  <si>
    <t>3.n</t>
  </si>
  <si>
    <t>4</t>
  </si>
  <si>
    <t>Trasporti</t>
  </si>
  <si>
    <t>4.n</t>
  </si>
  <si>
    <t>A</t>
  </si>
  <si>
    <t>Sommano</t>
  </si>
  <si>
    <t>5</t>
  </si>
  <si>
    <t>Spese generali</t>
  </si>
  <si>
    <t>B</t>
  </si>
  <si>
    <t>6</t>
  </si>
  <si>
    <t>C</t>
  </si>
  <si>
    <t>7</t>
  </si>
  <si>
    <t>Arrotondamento (+/-)</t>
  </si>
  <si>
    <t>Oppure</t>
  </si>
  <si>
    <t>Squadra tipo</t>
  </si>
  <si>
    <t>Utile di Impresa</t>
  </si>
  <si>
    <t>ALLEGATO C)</t>
  </si>
  <si>
    <t>Modello guida per la giustificazione dell'aliquota per Spese Generali</t>
  </si>
  <si>
    <t>Fisso/variabile</t>
  </si>
  <si>
    <t>IMPORTO</t>
  </si>
  <si>
    <t>Incidenza %</t>
  </si>
  <si>
    <t>DESCRIZIONE</t>
  </si>
  <si>
    <t>Spese per la stipula del contratto (bolli, registrazioni,copie,ecc.)</t>
  </si>
  <si>
    <t>Fidejussioni e assicurazioni</t>
  </si>
  <si>
    <t>Affitto area di cantiere (eventuale)</t>
  </si>
  <si>
    <t>Impianto e gestione del cantiere, transito ed esercizio delle strade e deviazioni provvisorie</t>
  </si>
  <si>
    <t>Spese del personale di cantiere</t>
  </si>
  <si>
    <t>Uffici D.L. e servizi come da Capitolato</t>
  </si>
  <si>
    <t>Utenze varie</t>
  </si>
  <si>
    <t xml:space="preserve"> Campagna geologica integrativa</t>
  </si>
  <si>
    <t xml:space="preserve">Segnaletica e deviazioni di cantiere </t>
  </si>
  <si>
    <t>Guardiania</t>
  </si>
  <si>
    <t>Bonifica bellico, rilievi archeologici, prove ulteriori richieste dalla D.L.</t>
  </si>
  <si>
    <t>Assistenza alle prove (manodopera, tecnici, attrezzature e macchinari, conservazione dei campioni, spedizioni ai laboratori, costo dei certificati, ecc.)</t>
  </si>
  <si>
    <t>Assistenza alla D.L. compresa documentazione fotografica</t>
  </si>
  <si>
    <t>Verifica  dei calcoli statici esecutivi di cantiere, particolari costruttivi, rilievi e disegni di dettaglio, rilievi topografici e tracciamenti</t>
  </si>
  <si>
    <t>Assistenza al collaudo, operazioni di prova statica e dinamica</t>
  </si>
  <si>
    <t>Manutenzione delle opere fino a collaudo</t>
  </si>
  <si>
    <t>Spese fisse di sede</t>
  </si>
  <si>
    <t>Impoete e tasse</t>
  </si>
  <si>
    <t>TOTALE SPESE GENERALI</t>
  </si>
  <si>
    <t>INCIDENZA % SPESE GENERALI SULLA COMMESSA</t>
  </si>
  <si>
    <t>O.06.090.20</t>
  </si>
  <si>
    <t>LIEVO DI CHIUSINI CON TELAIO</t>
  </si>
  <si>
    <t>O.06.090.25</t>
  </si>
  <si>
    <t>O.06.090.30</t>
  </si>
  <si>
    <t>O.06.090.40</t>
  </si>
  <si>
    <t>O.02.050.05</t>
  </si>
  <si>
    <t>CALCESTRUZZO BITUMINOSO A MISCELA CHIUSA CON INERTI BASALTICI  A TONN.</t>
  </si>
  <si>
    <t>tonn.</t>
  </si>
  <si>
    <t>O.02.060.05</t>
  </si>
  <si>
    <t>CALCESTRUZZO BITUMINOSO A MISCELA SEMIAPERTA TONN.</t>
  </si>
  <si>
    <t>Y.10.131</t>
  </si>
  <si>
    <t>MANUTENZIONE DI MANTENIMENTO</t>
  </si>
  <si>
    <t>a corpo</t>
  </si>
  <si>
    <t>Y.10.A5.05</t>
  </si>
  <si>
    <t>CIOTTOLI BIANCO CARRARA</t>
  </si>
  <si>
    <t>kg.</t>
  </si>
  <si>
    <t>Y.10.A5.10</t>
  </si>
  <si>
    <t>CIOTTOLI BIANCO VERONA</t>
  </si>
  <si>
    <t>Y.10.A5.20</t>
  </si>
  <si>
    <t>FORNITURA E POSA DI GHIAINO</t>
  </si>
  <si>
    <t>Y.10.A8</t>
  </si>
  <si>
    <t>REALIZZAZIONE DI PAVIMENTAZIONE IN CIOTTOLI BIANCO CARRARA</t>
  </si>
  <si>
    <t>Y.10.A30</t>
  </si>
  <si>
    <t>F.P.O. DI PACCIAMATURA IN LAPILLO VUKLCANICO</t>
  </si>
  <si>
    <t>Y.10.A61</t>
  </si>
  <si>
    <t>Y.10.A65</t>
  </si>
  <si>
    <t>FORMAZIONE DI PRATO</t>
  </si>
  <si>
    <t>Y.10.A66.05</t>
  </si>
  <si>
    <t>F.P.O. TAPPETO ERBOSO IN ZOLLA</t>
  </si>
  <si>
    <t>Y.10.A75.10</t>
  </si>
  <si>
    <t>FORNITURA E MESSA A DIMORA DI PIANTE ARBOREE</t>
  </si>
  <si>
    <t>Y.10.A80.20</t>
  </si>
  <si>
    <t>FORNITURA E MESSA A DIMORA DI ARBUSTI E CESPUGLI</t>
  </si>
  <si>
    <t>Y.10.A80.25</t>
  </si>
  <si>
    <t>Y.10.A80.30</t>
  </si>
  <si>
    <t>Y.10.A81</t>
  </si>
  <si>
    <t>FORNITURA E MESSA A DIMORA DI ARBUSTI ORNAMENTALI</t>
  </si>
  <si>
    <t>Y.10.A82</t>
  </si>
  <si>
    <t>FORNITURA E MESSA A DIMORA DI ARBUSTI SARMENTOSE</t>
  </si>
  <si>
    <t>Y.10.A84.05</t>
  </si>
  <si>
    <t>FORNITURA E MESSA A DIMORA DI FIORIFERE ERBACEE</t>
  </si>
  <si>
    <t>Y.10.A80.10</t>
  </si>
  <si>
    <t>Y.10.A84.20</t>
  </si>
  <si>
    <t>Y.10.A85</t>
  </si>
  <si>
    <t>FORNITURA E MESSA A DIMORA DI SPECIE ESOTICHE</t>
  </si>
  <si>
    <t>Y.10.A85.10</t>
  </si>
  <si>
    <t>Y.10.A85.15</t>
  </si>
  <si>
    <t>Y.20.026</t>
  </si>
  <si>
    <t>F.P.O. PARAPEDONALE</t>
  </si>
  <si>
    <t>Y.20.028</t>
  </si>
  <si>
    <t>F.P.O. CESTINO PORTA RIFIUTI IN GHISA</t>
  </si>
  <si>
    <t>Y.20.030</t>
  </si>
  <si>
    <t>RIMOZIONE PANCHINA FISSATA AL SUOLO</t>
  </si>
  <si>
    <t>Y.20.042</t>
  </si>
  <si>
    <t>F.P.O. DI SEDUTA IN PIETRA NATURALE</t>
  </si>
  <si>
    <t>X.02.010.10</t>
  </si>
  <si>
    <t>FORNITURA E POSA DI SEGNALI STRADALI CLASSE 2</t>
  </si>
  <si>
    <t>X.02.025.10</t>
  </si>
  <si>
    <t xml:space="preserve">FORNITURA E POSA DI PALI PER IL SOSTEGNO DI SEGNALI STRADALI </t>
  </si>
  <si>
    <t>P.02.110.15</t>
  </si>
  <si>
    <t>COSTRUZIONE DI POZZETTO DI ISPEZIONE</t>
  </si>
  <si>
    <t>Q.02.020.15.i</t>
  </si>
  <si>
    <t>TUBAZIONE IN POLIETILENE AD ALTA DENSITA' CORRUGATO O LISCIO DIAM. 90 mm.</t>
  </si>
  <si>
    <t>Y.10.100</t>
  </si>
  <si>
    <t>F.P.O. DI SENSORE DI UMIDITA'</t>
  </si>
  <si>
    <t>Y.10.A4</t>
  </si>
  <si>
    <t>REALIZZAZIONE DI DRENAGGIO</t>
  </si>
  <si>
    <t>Y.10.B1</t>
  </si>
  <si>
    <t>F.P.O. IRRIGATORE DINAMICO MEDIO</t>
  </si>
  <si>
    <t>Y.10.B3</t>
  </si>
  <si>
    <t>F.P.O. IRRIGATORE STATICO</t>
  </si>
  <si>
    <t>Y.10.B4</t>
  </si>
  <si>
    <t>F.P.O. RIDUTTORE DI PRESSIONE</t>
  </si>
  <si>
    <t>Y.10.B5</t>
  </si>
  <si>
    <t>F.P.O. VALVOLA A SFERA</t>
  </si>
  <si>
    <t>Y.10.B6</t>
  </si>
  <si>
    <t>F.P.O. VALVOLA DI DRENAGGIO</t>
  </si>
  <si>
    <t>Y.10.B7.05</t>
  </si>
  <si>
    <t>F.P.O. DI POZZETTO IN MATERIALE PLASTICO E FIBRA DI VETRO</t>
  </si>
  <si>
    <t>Y.10.B7.10</t>
  </si>
  <si>
    <t>Y.10.B7.15</t>
  </si>
  <si>
    <t>Y.10.B9.05</t>
  </si>
  <si>
    <t>F.P.O. DI PROGRAMMATORE ELETTRONICO</t>
  </si>
  <si>
    <t>F.P.O. DI UNITA' DI CONTROLLO</t>
  </si>
  <si>
    <t>Y.10.B14.05</t>
  </si>
  <si>
    <t>Y.10.B14.15</t>
  </si>
  <si>
    <t>Y.10.B17</t>
  </si>
  <si>
    <t>F.P.O. DI SOLENOIDE BISTABILE</t>
  </si>
  <si>
    <t>Y.10.B40.20</t>
  </si>
  <si>
    <t>F.P.O. DI POLIETILENE DIAM. 50</t>
  </si>
  <si>
    <t>Y.10.B40.25</t>
  </si>
  <si>
    <t>F.P.O. DI POLIETILENE DIAM. 63</t>
  </si>
  <si>
    <t>Y.10.B40.30</t>
  </si>
  <si>
    <t>F.P.O. DI POLIETILENE DIAM. 75</t>
  </si>
  <si>
    <t>Y.10.B44</t>
  </si>
  <si>
    <t>F.P.O. DI ALA GOCCIOLANTE</t>
  </si>
  <si>
    <t>Y.10.B45</t>
  </si>
  <si>
    <t>F.P.O. DI ALA GOCCIOLANTE AUTOCOMPENSANTE</t>
  </si>
  <si>
    <t>Y.10.B50.05</t>
  </si>
  <si>
    <t>F.P.O. DI RACCORDI DI UNIONE IN PVC DIAM 3/4, 1/2</t>
  </si>
  <si>
    <t>Y.10.B50.10</t>
  </si>
  <si>
    <t>F.P.O. DI RACCORDI DI UNIONE TRA RETE IDRICA E IRRIGABILE IN PVC DIAM 1", 1"1/2</t>
  </si>
  <si>
    <t>Y.10.B70.10</t>
  </si>
  <si>
    <t xml:space="preserve">F.P.O. DI RUBINETTO A SFERA </t>
  </si>
  <si>
    <t>Y.10.B75.05</t>
  </si>
  <si>
    <t>F.P.O. DI FILTRO A RETE</t>
  </si>
  <si>
    <t>Y.10.B75.10</t>
  </si>
  <si>
    <t>Y.10.B75.15</t>
  </si>
  <si>
    <t>Y.10.B90.20</t>
  </si>
  <si>
    <t>F.P.O. DI DISCONETTORE PER ACQUA SANITARIA</t>
  </si>
  <si>
    <t>TOTALE LAVORI A MISURA</t>
  </si>
  <si>
    <t>LAVORI A CORPO</t>
  </si>
  <si>
    <t>RIMOZIONE DI CORDONATA</t>
  </si>
  <si>
    <t>SMANTELLAMENTO DI MARCIAPIEDE</t>
  </si>
  <si>
    <t>O.06.080</t>
  </si>
  <si>
    <t>RIMOZIONE E NUOVA POSA IN OPERA DI CHIUSINI</t>
  </si>
  <si>
    <t>D.01.020.05</t>
  </si>
  <si>
    <t>SCAVO A SEZIONE OBBLIGATA</t>
  </si>
  <si>
    <t>RILAVATI, RINTERRI ED ALTRE OPERE</t>
  </si>
  <si>
    <t>F.04.015.05</t>
  </si>
  <si>
    <t>CLS PER QUALSIASI MANUFATTO</t>
  </si>
  <si>
    <t>F.P.O. TUBAZIONI PVC DIAM. 160</t>
  </si>
  <si>
    <t>F.P.O. TUBAZIONI PVC DIAM. 250</t>
  </si>
  <si>
    <t>P.01.030.30</t>
  </si>
  <si>
    <t>F.P.O. TUBAZIONI PVC DIAM. 500</t>
  </si>
  <si>
    <t>P.01.030.25</t>
  </si>
  <si>
    <t>F.P.O. TUBAZIONI PVC DIAM. 400</t>
  </si>
  <si>
    <t>F.P.O. TUBAZIONI PVC DIAM. 600</t>
  </si>
  <si>
    <t>F.P.O. DI ANELLI IN CLS</t>
  </si>
  <si>
    <t>F.P.O. DI STROMBI IN CLS</t>
  </si>
  <si>
    <t>F.P.O. DI CHIUSINI CIRCOLARI</t>
  </si>
  <si>
    <t>P.02.080.05</t>
  </si>
  <si>
    <t>F.P.O. DI GRADINI</t>
  </si>
  <si>
    <t>F.P.O. DI CADITOIE IN MARCIAPIEDE</t>
  </si>
  <si>
    <t>F.P.O. DI CADITOIE IN CARREGGIATA</t>
  </si>
  <si>
    <t>P.03.010.05</t>
  </si>
  <si>
    <t>ESPURGO CADITOIE INTASATE</t>
  </si>
  <si>
    <t>RILEVATI RINTERRI ED ALTRE OPERE</t>
  </si>
  <si>
    <t>MASSICCIATA STRADALE TOUT-VENANT BITUMATO cm. 10</t>
  </si>
  <si>
    <t>O.02.050.10</t>
  </si>
  <si>
    <t>O.02.060.15</t>
  </si>
  <si>
    <t>CALCESTRUZZO BITUMINOSO A MISCELA SEMIAPERTA</t>
  </si>
  <si>
    <t xml:space="preserve">CALCESTRUZZO BITUMINOSO A MISCELA CHIUSA CON INERTI BASALTICI </t>
  </si>
  <si>
    <t>X.01.010.05</t>
  </si>
  <si>
    <t>VERNICIATURA DI PRIMO IMPIANTO</t>
  </si>
  <si>
    <t>RILEVATI, RINTERRI ED ALTRE OPERE</t>
  </si>
  <si>
    <t>CONGLOMERATO CEMENTIZIO PER QUALSIASI MANUFATTO</t>
  </si>
  <si>
    <t>F.04.015.10</t>
  </si>
  <si>
    <t>SOVRAPPREZZO PER PLINTI CON TIRAFONDI</t>
  </si>
  <si>
    <t>COSTRUZIONE DI POZZETTI D'ISPEZIONE</t>
  </si>
  <si>
    <t>Q.02.020.15.l</t>
  </si>
  <si>
    <t>TUBAZIONE IN POLIETILENE AD ALTA DENSITA' CORRUGATO O LISCIO DIAM. 110 mm.</t>
  </si>
  <si>
    <t>Q.02.030</t>
  </si>
  <si>
    <t>POSA IN OPERA DI CAVI ENTRO TUBO</t>
  </si>
  <si>
    <t>Q.02.080</t>
  </si>
  <si>
    <t>POSA CORDA DI TERRA</t>
  </si>
  <si>
    <t>Q.02.090</t>
  </si>
  <si>
    <t>INFISSIONE DI DISPERSORE DI TERRA</t>
  </si>
  <si>
    <t>P.02.040.05</t>
  </si>
  <si>
    <t>A RIPORTARE LAVORI A MISURA</t>
  </si>
  <si>
    <t>RIPORTO LAVORI A MISURA</t>
  </si>
  <si>
    <t>ELENCO DESCRITTIVO DELLE VOCI, RELATIVO ALLE OPERE COMUNALI, DI CUI E' RICHIESTA LA GIUSTIFICAZIONE</t>
  </si>
  <si>
    <t xml:space="preserve">ELENCO DELLE PRIME VOCI DI E.P.U. CONCORRENTI ALL'AMMONTARE DEL 85,493% DELL'IMPORTO A BASE DI GARA 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</si>
</sst>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  <numFmt numFmtId="165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/>
    </xf>
    <xf numFmtId="4" fontId="0" fillId="0" borderId="8" xfId="0" applyNumberFormat="1" applyBorder="1" applyAlignment="1">
      <alignment horizontal="right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left" indent="2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9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1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3" xfId="0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4" fontId="4" fillId="0" borderId="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workbookViewId="0" topLeftCell="A1">
      <selection activeCell="A4" sqref="A4"/>
    </sheetView>
  </sheetViews>
  <sheetFormatPr defaultColWidth="9.140625" defaultRowHeight="12.75"/>
  <cols>
    <col min="1" max="1" width="11.421875" style="0" customWidth="1"/>
    <col min="2" max="2" width="91.421875" style="0" customWidth="1"/>
    <col min="3" max="3" width="7.57421875" style="0" customWidth="1"/>
    <col min="5" max="5" width="11.8515625" style="0" customWidth="1"/>
  </cols>
  <sheetData>
    <row r="1" spans="1:4" ht="18" customHeight="1">
      <c r="A1" s="49" t="s">
        <v>5</v>
      </c>
      <c r="B1" s="50"/>
      <c r="C1" s="50"/>
      <c r="D1" s="50"/>
    </row>
    <row r="2" spans="1:4" ht="18" customHeight="1">
      <c r="A2" s="50" t="s">
        <v>285</v>
      </c>
      <c r="B2" s="50"/>
      <c r="C2" s="50"/>
      <c r="D2" s="50"/>
    </row>
    <row r="3" spans="1:4" ht="18" customHeight="1">
      <c r="A3" s="48" t="s">
        <v>286</v>
      </c>
      <c r="B3" s="48"/>
      <c r="C3" s="48"/>
      <c r="D3" s="48"/>
    </row>
    <row r="4" spans="1:5" ht="22.5">
      <c r="A4" s="1" t="s">
        <v>0</v>
      </c>
      <c r="B4" s="2" t="s">
        <v>1</v>
      </c>
      <c r="C4" s="2" t="s">
        <v>2</v>
      </c>
      <c r="D4" s="3" t="s">
        <v>4</v>
      </c>
      <c r="E4" s="4" t="s">
        <v>3</v>
      </c>
    </row>
    <row r="5" spans="1:5" ht="12.75">
      <c r="A5" s="16"/>
      <c r="B5" s="20" t="s">
        <v>55</v>
      </c>
      <c r="C5" s="17"/>
      <c r="D5" s="18"/>
      <c r="E5" s="19"/>
    </row>
    <row r="6" spans="1:5" ht="12.75">
      <c r="A6" s="8" t="s">
        <v>13</v>
      </c>
      <c r="B6" s="9" t="s">
        <v>14</v>
      </c>
      <c r="C6" s="7" t="s">
        <v>15</v>
      </c>
      <c r="D6" s="14">
        <v>51</v>
      </c>
      <c r="E6" s="13">
        <f>4964.85/(2524616.65+432682.65)*100</f>
        <v>0.16788459659798385</v>
      </c>
    </row>
    <row r="7" spans="1:5" ht="12.75">
      <c r="A7" s="8" t="s">
        <v>18</v>
      </c>
      <c r="B7" s="9" t="s">
        <v>19</v>
      </c>
      <c r="C7" s="7" t="s">
        <v>11</v>
      </c>
      <c r="D7" s="14">
        <v>2447</v>
      </c>
      <c r="E7" s="13">
        <f>31982.29/(2524616.65+432682.65)*100</f>
        <v>1.0814695015820686</v>
      </c>
    </row>
    <row r="8" spans="1:5" ht="12.75">
      <c r="A8" s="8" t="s">
        <v>124</v>
      </c>
      <c r="B8" s="9" t="s">
        <v>125</v>
      </c>
      <c r="C8" s="7" t="s">
        <v>15</v>
      </c>
      <c r="D8" s="14">
        <v>50</v>
      </c>
      <c r="E8" s="13">
        <f>348.5/(2524616.65+432682.65)*100</f>
        <v>0.011784400719940658</v>
      </c>
    </row>
    <row r="9" spans="1:5" ht="12.75">
      <c r="A9" s="8" t="s">
        <v>126</v>
      </c>
      <c r="B9" s="9" t="s">
        <v>125</v>
      </c>
      <c r="C9" s="7" t="s">
        <v>15</v>
      </c>
      <c r="D9" s="14">
        <v>30</v>
      </c>
      <c r="E9" s="13">
        <f>189/(2524616.65+432682.65)*100</f>
        <v>0.00639096624409981</v>
      </c>
    </row>
    <row r="10" spans="1:5" ht="12.75">
      <c r="A10" s="8" t="s">
        <v>127</v>
      </c>
      <c r="B10" s="9" t="s">
        <v>125</v>
      </c>
      <c r="C10" s="7" t="s">
        <v>15</v>
      </c>
      <c r="D10" s="14">
        <v>30</v>
      </c>
      <c r="E10" s="13">
        <f>202.5/(2524616.65+432682.65)*100</f>
        <v>0.006847463832964084</v>
      </c>
    </row>
    <row r="11" spans="1:5" ht="12.75">
      <c r="A11" s="8" t="s">
        <v>128</v>
      </c>
      <c r="B11" s="9" t="s">
        <v>125</v>
      </c>
      <c r="C11" s="7" t="s">
        <v>15</v>
      </c>
      <c r="D11" s="14">
        <v>10</v>
      </c>
      <c r="E11" s="13">
        <f>65.7/(2524616.65+432682.65)*100</f>
        <v>0.002221621599139458</v>
      </c>
    </row>
    <row r="12" spans="1:5" ht="22.5">
      <c r="A12" s="8" t="s">
        <v>21</v>
      </c>
      <c r="B12" s="9" t="s">
        <v>20</v>
      </c>
      <c r="C12" s="7" t="s">
        <v>15</v>
      </c>
      <c r="D12" s="14">
        <v>20</v>
      </c>
      <c r="E12" s="13">
        <f>900/(2524616.65+432682.65)*100</f>
        <v>0.03043317259095148</v>
      </c>
    </row>
    <row r="13" spans="1:5" ht="12.75" customHeight="1">
      <c r="A13" s="8" t="s">
        <v>22</v>
      </c>
      <c r="B13" s="9" t="s">
        <v>23</v>
      </c>
      <c r="C13" s="7" t="s">
        <v>24</v>
      </c>
      <c r="D13" s="14">
        <v>100</v>
      </c>
      <c r="E13" s="13">
        <f>990/(2524616.65+432682.65)*100</f>
        <v>0.03347648985004663</v>
      </c>
    </row>
    <row r="14" spans="1:5" ht="12.75">
      <c r="A14" s="8" t="s">
        <v>35</v>
      </c>
      <c r="B14" s="9" t="s">
        <v>34</v>
      </c>
      <c r="C14" s="7" t="s">
        <v>17</v>
      </c>
      <c r="D14" s="14">
        <v>9495</v>
      </c>
      <c r="E14" s="13">
        <f>2848.5/(2524616.65+432682.65)*100</f>
        <v>0.09632099125036145</v>
      </c>
    </row>
    <row r="15" spans="1:5" ht="12.75">
      <c r="A15" s="8" t="s">
        <v>129</v>
      </c>
      <c r="B15" s="9" t="s">
        <v>130</v>
      </c>
      <c r="C15" s="7" t="s">
        <v>131</v>
      </c>
      <c r="D15" s="14">
        <v>100</v>
      </c>
      <c r="E15" s="13">
        <f>7000/(2524616.65+432682.65)*100</f>
        <v>0.23670245348517818</v>
      </c>
    </row>
    <row r="16" spans="1:5" ht="12.75">
      <c r="A16" s="8" t="s">
        <v>132</v>
      </c>
      <c r="B16" s="9" t="s">
        <v>133</v>
      </c>
      <c r="C16" s="7" t="s">
        <v>131</v>
      </c>
      <c r="D16" s="14">
        <v>100</v>
      </c>
      <c r="E16" s="13">
        <f>4463/(2524616.65+432682.65)*100</f>
        <v>0.1509147214149072</v>
      </c>
    </row>
    <row r="17" spans="1:5" s="5" customFormat="1" ht="12.75">
      <c r="A17" s="8" t="s">
        <v>38</v>
      </c>
      <c r="B17" s="9" t="s">
        <v>39</v>
      </c>
      <c r="C17" s="7" t="s">
        <v>17</v>
      </c>
      <c r="D17" s="14">
        <v>3562</v>
      </c>
      <c r="E17" s="13">
        <f>366280.46/(2524616.65+432682.65)*100</f>
        <v>12.385640506525668</v>
      </c>
    </row>
    <row r="18" spans="1:5" s="5" customFormat="1" ht="12.75">
      <c r="A18" s="8" t="s">
        <v>40</v>
      </c>
      <c r="B18" s="9" t="s">
        <v>41</v>
      </c>
      <c r="C18" s="7" t="s">
        <v>17</v>
      </c>
      <c r="D18" s="14">
        <v>9495</v>
      </c>
      <c r="E18" s="13">
        <f>100836.9/(2524616.65+432682.65)*100</f>
        <v>3.409763090262795</v>
      </c>
    </row>
    <row r="19" spans="1:5" s="5" customFormat="1" ht="12.75">
      <c r="A19" s="8" t="s">
        <v>42</v>
      </c>
      <c r="B19" s="9" t="s">
        <v>43</v>
      </c>
      <c r="C19" s="7" t="s">
        <v>17</v>
      </c>
      <c r="D19" s="14">
        <v>4565</v>
      </c>
      <c r="E19" s="13">
        <f>24422.75/(2524616.65+432682.65)*100</f>
        <v>0.8258464065507337</v>
      </c>
    </row>
    <row r="20" spans="1:5" s="5" customFormat="1" ht="12.75">
      <c r="A20" s="8" t="s">
        <v>44</v>
      </c>
      <c r="B20" s="9" t="s">
        <v>45</v>
      </c>
      <c r="C20" s="7" t="s">
        <v>11</v>
      </c>
      <c r="D20" s="14">
        <v>1371</v>
      </c>
      <c r="E20" s="13">
        <f>21373.89/(2524616.65+432682.65)*100</f>
        <v>0.7227503147889022</v>
      </c>
    </row>
    <row r="21" spans="1:5" s="5" customFormat="1" ht="12.75">
      <c r="A21" s="8" t="s">
        <v>46</v>
      </c>
      <c r="B21" s="9" t="s">
        <v>47</v>
      </c>
      <c r="C21" s="7" t="s">
        <v>11</v>
      </c>
      <c r="D21" s="14">
        <v>4131</v>
      </c>
      <c r="E21" s="13">
        <f>44284.32/(2524616.65+432682.65)*100</f>
        <v>1.4974581707032495</v>
      </c>
    </row>
    <row r="22" spans="1:5" s="5" customFormat="1" ht="12.75">
      <c r="A22" s="8" t="s">
        <v>48</v>
      </c>
      <c r="B22" s="9" t="s">
        <v>49</v>
      </c>
      <c r="C22" s="7" t="s">
        <v>11</v>
      </c>
      <c r="D22" s="14">
        <v>4031</v>
      </c>
      <c r="E22" s="13">
        <f>159385.74/(2524616.65+432682.65)*100</f>
        <v>5.389570815507243</v>
      </c>
    </row>
    <row r="23" spans="1:5" s="5" customFormat="1" ht="12.75">
      <c r="A23" s="8" t="s">
        <v>51</v>
      </c>
      <c r="B23" s="9" t="s">
        <v>50</v>
      </c>
      <c r="C23" s="7" t="s">
        <v>11</v>
      </c>
      <c r="D23" s="14">
        <v>100</v>
      </c>
      <c r="E23" s="13">
        <f>4323/(2524616.65+432682.65)*100</f>
        <v>0.14618067234520363</v>
      </c>
    </row>
    <row r="24" spans="1:5" s="5" customFormat="1" ht="12.75">
      <c r="A24" s="8" t="s">
        <v>134</v>
      </c>
      <c r="B24" s="9" t="s">
        <v>135</v>
      </c>
      <c r="C24" s="7" t="s">
        <v>136</v>
      </c>
      <c r="D24" s="14">
        <v>1</v>
      </c>
      <c r="E24" s="13">
        <f>12000/(2524616.65+432682.65)*100</f>
        <v>0.4057756345460198</v>
      </c>
    </row>
    <row r="25" spans="1:5" s="5" customFormat="1" ht="12.75">
      <c r="A25" s="8" t="s">
        <v>137</v>
      </c>
      <c r="B25" s="9" t="s">
        <v>138</v>
      </c>
      <c r="C25" s="7" t="s">
        <v>139</v>
      </c>
      <c r="D25" s="14">
        <v>500</v>
      </c>
      <c r="E25" s="13">
        <f>300/(2524616.65+432682.65)*100</f>
        <v>0.010144390863650495</v>
      </c>
    </row>
    <row r="26" spans="1:5" s="5" customFormat="1" ht="12.75">
      <c r="A26" s="8" t="s">
        <v>140</v>
      </c>
      <c r="B26" s="9" t="s">
        <v>141</v>
      </c>
      <c r="C26" s="7" t="s">
        <v>139</v>
      </c>
      <c r="D26" s="14">
        <v>1200</v>
      </c>
      <c r="E26" s="13">
        <f>300/(2524616.65+432682.65)*100</f>
        <v>0.010144390863650495</v>
      </c>
    </row>
    <row r="27" spans="1:5" s="5" customFormat="1" ht="12.75">
      <c r="A27" s="8" t="s">
        <v>142</v>
      </c>
      <c r="B27" s="9" t="s">
        <v>143</v>
      </c>
      <c r="C27" s="7" t="s">
        <v>17</v>
      </c>
      <c r="D27" s="14">
        <v>10</v>
      </c>
      <c r="E27" s="13">
        <f>25/(2524616.65+432682.65)*100</f>
        <v>0.0008453659053042078</v>
      </c>
    </row>
    <row r="28" spans="1:5" s="5" customFormat="1" ht="12.75">
      <c r="A28" s="8" t="s">
        <v>144</v>
      </c>
      <c r="B28" s="9" t="s">
        <v>145</v>
      </c>
      <c r="C28" s="7" t="s">
        <v>136</v>
      </c>
      <c r="D28" s="14">
        <v>1</v>
      </c>
      <c r="E28" s="13">
        <f>123244/(2524616.65+432682.65)*100</f>
        <v>4.167451025332472</v>
      </c>
    </row>
    <row r="29" spans="1:5" s="5" customFormat="1" ht="12.75">
      <c r="A29" s="8" t="s">
        <v>146</v>
      </c>
      <c r="B29" s="9" t="s">
        <v>147</v>
      </c>
      <c r="C29" s="7" t="s">
        <v>17</v>
      </c>
      <c r="D29" s="14">
        <v>1850</v>
      </c>
      <c r="E29" s="13">
        <f>17667.5/(2524616.65+432682.65)*100</f>
        <v>0.5974200852784837</v>
      </c>
    </row>
    <row r="30" spans="1:5" s="5" customFormat="1" ht="12.75">
      <c r="A30" s="8" t="s">
        <v>148</v>
      </c>
      <c r="B30" s="9" t="s">
        <v>54</v>
      </c>
      <c r="C30" s="7" t="s">
        <v>136</v>
      </c>
      <c r="D30" s="14">
        <v>1</v>
      </c>
      <c r="E30" s="13">
        <f>20000/(2524616.65+432682.65)*100</f>
        <v>0.6762927242433663</v>
      </c>
    </row>
    <row r="31" spans="1:5" s="5" customFormat="1" ht="12.75">
      <c r="A31" s="8" t="s">
        <v>149</v>
      </c>
      <c r="B31" s="9" t="s">
        <v>150</v>
      </c>
      <c r="C31" s="7" t="s">
        <v>17</v>
      </c>
      <c r="D31" s="14">
        <v>100</v>
      </c>
      <c r="E31" s="13">
        <f>430/(2524616.65+432682.65)*100</f>
        <v>0.014540293571232375</v>
      </c>
    </row>
    <row r="32" spans="1:5" s="5" customFormat="1" ht="12.75">
      <c r="A32" s="8" t="s">
        <v>151</v>
      </c>
      <c r="B32" s="9" t="s">
        <v>152</v>
      </c>
      <c r="C32" s="7" t="s">
        <v>17</v>
      </c>
      <c r="D32" s="14">
        <v>400</v>
      </c>
      <c r="E32" s="13">
        <f>8200/(2524616.65+432682.65)*100</f>
        <v>0.2772800169397802</v>
      </c>
    </row>
    <row r="33" spans="1:5" ht="12.75">
      <c r="A33" s="10"/>
      <c r="B33" s="11" t="s">
        <v>283</v>
      </c>
      <c r="C33" s="12"/>
      <c r="D33" s="15"/>
      <c r="E33" s="74">
        <f>SUM(E6:E32)</f>
        <v>32.361550283395395</v>
      </c>
    </row>
    <row r="34" spans="1:5" ht="12.75">
      <c r="A34" s="22"/>
      <c r="B34" s="23" t="s">
        <v>284</v>
      </c>
      <c r="C34" s="24"/>
      <c r="D34" s="25"/>
      <c r="E34" s="13">
        <f>E33</f>
        <v>32.361550283395395</v>
      </c>
    </row>
    <row r="35" spans="1:5" s="5" customFormat="1" ht="12.75">
      <c r="A35" s="8" t="s">
        <v>153</v>
      </c>
      <c r="B35" s="9" t="s">
        <v>154</v>
      </c>
      <c r="C35" s="7" t="s">
        <v>15</v>
      </c>
      <c r="D35" s="14">
        <v>2</v>
      </c>
      <c r="E35" s="13">
        <f>350/(2524616.65+432682.65)*100</f>
        <v>0.011835122674258909</v>
      </c>
    </row>
    <row r="36" spans="1:5" s="5" customFormat="1" ht="12.75">
      <c r="A36" s="8" t="s">
        <v>155</v>
      </c>
      <c r="B36" s="9" t="s">
        <v>156</v>
      </c>
      <c r="C36" s="7" t="s">
        <v>15</v>
      </c>
      <c r="D36" s="14">
        <v>50</v>
      </c>
      <c r="E36" s="13">
        <f>1225/(2524616.65+432682.65)*100</f>
        <v>0.041422929359906185</v>
      </c>
    </row>
    <row r="37" spans="1:5" s="5" customFormat="1" ht="12.75">
      <c r="A37" s="8" t="s">
        <v>157</v>
      </c>
      <c r="B37" s="9" t="s">
        <v>156</v>
      </c>
      <c r="C37" s="7" t="s">
        <v>15</v>
      </c>
      <c r="D37" s="14">
        <v>50</v>
      </c>
      <c r="E37" s="13">
        <f>2470/(2524616.65+432682.65)*100</f>
        <v>0.08352215144405574</v>
      </c>
    </row>
    <row r="38" spans="1:5" s="5" customFormat="1" ht="12.75">
      <c r="A38" s="8" t="s">
        <v>158</v>
      </c>
      <c r="B38" s="9" t="s">
        <v>156</v>
      </c>
      <c r="C38" s="7" t="s">
        <v>15</v>
      </c>
      <c r="D38" s="14">
        <v>500</v>
      </c>
      <c r="E38" s="13">
        <f>8350/(2524616.65+432682.65)*100</f>
        <v>0.2823522123716054</v>
      </c>
    </row>
    <row r="39" spans="1:5" s="5" customFormat="1" ht="12.75">
      <c r="A39" s="8" t="s">
        <v>159</v>
      </c>
      <c r="B39" s="9" t="s">
        <v>160</v>
      </c>
      <c r="C39" s="7" t="s">
        <v>15</v>
      </c>
      <c r="D39" s="14">
        <v>500</v>
      </c>
      <c r="E39" s="13">
        <f>6600/(2524616.65+432682.65)*100</f>
        <v>0.22317659900031087</v>
      </c>
    </row>
    <row r="40" spans="1:5" s="5" customFormat="1" ht="12.75">
      <c r="A40" s="8" t="s">
        <v>161</v>
      </c>
      <c r="B40" s="9" t="s">
        <v>162</v>
      </c>
      <c r="C40" s="7" t="s">
        <v>15</v>
      </c>
      <c r="D40" s="14">
        <v>6700</v>
      </c>
      <c r="E40" s="13">
        <f>58960/(2524616.65+432682.65)*100</f>
        <v>1.993710951069444</v>
      </c>
    </row>
    <row r="41" spans="1:5" s="5" customFormat="1" ht="12.75">
      <c r="A41" s="8" t="s">
        <v>163</v>
      </c>
      <c r="B41" s="9" t="s">
        <v>164</v>
      </c>
      <c r="C41" s="7" t="s">
        <v>15</v>
      </c>
      <c r="D41" s="14">
        <v>23400</v>
      </c>
      <c r="E41" s="13">
        <f>23400/(2524616.65+432682.65)*100</f>
        <v>0.7912624873647386</v>
      </c>
    </row>
    <row r="42" spans="1:5" s="5" customFormat="1" ht="12.75">
      <c r="A42" s="8" t="s">
        <v>165</v>
      </c>
      <c r="B42" s="9" t="s">
        <v>164</v>
      </c>
      <c r="C42" s="7" t="s">
        <v>15</v>
      </c>
      <c r="D42" s="14">
        <v>1000</v>
      </c>
      <c r="E42" s="13">
        <f>950/(2524616.65+432682.65)*100</f>
        <v>0.0321239044015599</v>
      </c>
    </row>
    <row r="43" spans="1:5" s="5" customFormat="1" ht="12.75">
      <c r="A43" s="8" t="s">
        <v>166</v>
      </c>
      <c r="B43" s="9" t="s">
        <v>164</v>
      </c>
      <c r="C43" s="7" t="s">
        <v>15</v>
      </c>
      <c r="D43" s="14">
        <v>600</v>
      </c>
      <c r="E43" s="13">
        <f>1344/(2524616.65+432682.65)*100</f>
        <v>0.04544687106915422</v>
      </c>
    </row>
    <row r="44" spans="1:5" s="5" customFormat="1" ht="12.75">
      <c r="A44" s="8" t="s">
        <v>167</v>
      </c>
      <c r="B44" s="9" t="s">
        <v>168</v>
      </c>
      <c r="C44" s="7" t="s">
        <v>15</v>
      </c>
      <c r="D44" s="14">
        <v>1</v>
      </c>
      <c r="E44" s="13">
        <f>88/(2524616.65+432682.65)*100</f>
        <v>0.0029756879866708113</v>
      </c>
    </row>
    <row r="45" spans="1:5" s="5" customFormat="1" ht="12.75">
      <c r="A45" s="8" t="s">
        <v>169</v>
      </c>
      <c r="B45" s="9" t="s">
        <v>168</v>
      </c>
      <c r="C45" s="7" t="s">
        <v>15</v>
      </c>
      <c r="D45" s="14">
        <v>20</v>
      </c>
      <c r="E45" s="13">
        <f>1060/(2524616.65+432682.65)*100</f>
        <v>0.03584351438489841</v>
      </c>
    </row>
    <row r="46" spans="1:5" s="5" customFormat="1" ht="12.75">
      <c r="A46" s="8" t="s">
        <v>170</v>
      </c>
      <c r="B46" s="9" t="s">
        <v>168</v>
      </c>
      <c r="C46" s="7" t="s">
        <v>15</v>
      </c>
      <c r="D46" s="14">
        <v>5</v>
      </c>
      <c r="E46" s="13">
        <f>325/(2524616.65+432682.65)*100</f>
        <v>0.010989756768954702</v>
      </c>
    </row>
    <row r="47" spans="1:5" s="5" customFormat="1" ht="12.75">
      <c r="A47" s="8" t="s">
        <v>171</v>
      </c>
      <c r="B47" s="9" t="s">
        <v>172</v>
      </c>
      <c r="C47" s="7" t="s">
        <v>15</v>
      </c>
      <c r="D47" s="14">
        <v>200</v>
      </c>
      <c r="E47" s="13">
        <f>15180/(2524616.65+432682.65)*100</f>
        <v>0.513306177700715</v>
      </c>
    </row>
    <row r="48" spans="1:5" s="5" customFormat="1" ht="12.75">
      <c r="A48" s="8" t="s">
        <v>173</v>
      </c>
      <c r="B48" s="9" t="s">
        <v>174</v>
      </c>
      <c r="C48" s="7" t="s">
        <v>15</v>
      </c>
      <c r="D48" s="14">
        <v>4</v>
      </c>
      <c r="E48" s="13">
        <f>1096/(2524616.65+432682.65)*100</f>
        <v>0.03706084128853647</v>
      </c>
    </row>
    <row r="49" spans="1:5" s="5" customFormat="1" ht="12.75">
      <c r="A49" s="8" t="s">
        <v>175</v>
      </c>
      <c r="B49" s="9" t="s">
        <v>176</v>
      </c>
      <c r="C49" s="7" t="s">
        <v>15</v>
      </c>
      <c r="D49" s="14">
        <v>4</v>
      </c>
      <c r="E49" s="13">
        <f>780/(2524616.65+432682.65)*100</f>
        <v>0.026375416245491286</v>
      </c>
    </row>
    <row r="50" spans="1:5" s="5" customFormat="1" ht="12.75">
      <c r="A50" s="8" t="s">
        <v>177</v>
      </c>
      <c r="B50" s="9" t="s">
        <v>178</v>
      </c>
      <c r="C50" s="7" t="s">
        <v>15</v>
      </c>
      <c r="D50" s="14">
        <v>12</v>
      </c>
      <c r="E50" s="13">
        <f>8820/(2524616.65+432682.65)*100</f>
        <v>0.29824509139132455</v>
      </c>
    </row>
    <row r="51" spans="1:5" s="5" customFormat="1" ht="12.75">
      <c r="A51" s="8" t="s">
        <v>187</v>
      </c>
      <c r="B51" s="9" t="s">
        <v>188</v>
      </c>
      <c r="C51" s="7" t="s">
        <v>15</v>
      </c>
      <c r="D51" s="14">
        <v>1</v>
      </c>
      <c r="E51" s="13">
        <f>181/(2524616.65+432682.65)*100</f>
        <v>0.006120449154402465</v>
      </c>
    </row>
    <row r="52" spans="1:5" s="5" customFormat="1" ht="12.75">
      <c r="A52" s="8" t="s">
        <v>189</v>
      </c>
      <c r="B52" s="9" t="s">
        <v>190</v>
      </c>
      <c r="C52" s="7" t="s">
        <v>15</v>
      </c>
      <c r="D52" s="14">
        <v>30</v>
      </c>
      <c r="E52" s="13">
        <f>2640/(2524616.65+432682.65)*100</f>
        <v>0.08927063960012435</v>
      </c>
    </row>
    <row r="53" spans="1:5" s="5" customFormat="1" ht="12.75">
      <c r="A53" s="8" t="s">
        <v>191</v>
      </c>
      <c r="B53" s="9" t="s">
        <v>192</v>
      </c>
      <c r="C53" s="7" t="s">
        <v>15</v>
      </c>
      <c r="D53" s="14">
        <v>4</v>
      </c>
      <c r="E53" s="13">
        <f>170.8/(2524616.65+432682.65)*100</f>
        <v>0.005775539865038348</v>
      </c>
    </row>
    <row r="54" spans="1:5" s="5" customFormat="1" ht="12.75">
      <c r="A54" s="8" t="s">
        <v>193</v>
      </c>
      <c r="B54" s="9" t="s">
        <v>194</v>
      </c>
      <c r="C54" s="7" t="s">
        <v>15</v>
      </c>
      <c r="D54" s="14">
        <v>50</v>
      </c>
      <c r="E54" s="13">
        <f>1560/(2524616.65+432682.65)*100</f>
        <v>0.05275083249098257</v>
      </c>
    </row>
    <row r="55" spans="1:5" s="5" customFormat="1" ht="12.75">
      <c r="A55" s="8" t="s">
        <v>195</v>
      </c>
      <c r="B55" s="9" t="s">
        <v>196</v>
      </c>
      <c r="C55" s="7" t="s">
        <v>15</v>
      </c>
      <c r="D55" s="14">
        <v>1</v>
      </c>
      <c r="E55" s="13">
        <f>48.25/(2524616.65+432682.65)*100</f>
        <v>0.001631556197237121</v>
      </c>
    </row>
    <row r="56" spans="1:5" s="5" customFormat="1" ht="12.75">
      <c r="A56" s="8" t="s">
        <v>197</v>
      </c>
      <c r="B56" s="9" t="s">
        <v>198</v>
      </c>
      <c r="C56" s="7" t="s">
        <v>15</v>
      </c>
      <c r="D56" s="14">
        <v>1</v>
      </c>
      <c r="E56" s="13">
        <f>30.35/(2524616.65+432682.65)*100</f>
        <v>0.0010262742090393084</v>
      </c>
    </row>
    <row r="57" spans="1:5" s="5" customFormat="1" ht="12.75">
      <c r="A57" s="8" t="s">
        <v>199</v>
      </c>
      <c r="B57" s="9" t="s">
        <v>200</v>
      </c>
      <c r="C57" s="7" t="s">
        <v>15</v>
      </c>
      <c r="D57" s="14">
        <v>1</v>
      </c>
      <c r="E57" s="13">
        <f>43.5/(2524616.65+432682.65)*100</f>
        <v>0.0014709366752293216</v>
      </c>
    </row>
    <row r="58" spans="1:5" s="5" customFormat="1" ht="12.75">
      <c r="A58" s="8" t="s">
        <v>201</v>
      </c>
      <c r="B58" s="9" t="s">
        <v>202</v>
      </c>
      <c r="C58" s="7" t="s">
        <v>15</v>
      </c>
      <c r="D58" s="14">
        <v>5</v>
      </c>
      <c r="E58" s="13">
        <f>370.75/(2524616.65+432682.65)*100</f>
        <v>0.012536776375661403</v>
      </c>
    </row>
    <row r="59" spans="1:5" s="5" customFormat="1" ht="12.75">
      <c r="A59" s="8" t="s">
        <v>203</v>
      </c>
      <c r="B59" s="9" t="s">
        <v>202</v>
      </c>
      <c r="C59" s="7" t="s">
        <v>15</v>
      </c>
      <c r="D59" s="14">
        <v>1</v>
      </c>
      <c r="E59" s="13">
        <f>100.6/(2524616.65+432682.65)*100</f>
        <v>0.003401752402944132</v>
      </c>
    </row>
    <row r="60" spans="1:5" s="5" customFormat="1" ht="12.75">
      <c r="A60" s="8" t="s">
        <v>204</v>
      </c>
      <c r="B60" s="9" t="s">
        <v>202</v>
      </c>
      <c r="C60" s="7" t="s">
        <v>15</v>
      </c>
      <c r="D60" s="14">
        <v>22</v>
      </c>
      <c r="E60" s="13">
        <f>891/(2524616.65+432682.65)*100</f>
        <v>0.03012884086504197</v>
      </c>
    </row>
    <row r="61" spans="1:5" s="5" customFormat="1" ht="12.75">
      <c r="A61" s="8" t="s">
        <v>205</v>
      </c>
      <c r="B61" s="9" t="s">
        <v>206</v>
      </c>
      <c r="C61" s="7" t="s">
        <v>15</v>
      </c>
      <c r="D61" s="14">
        <v>1</v>
      </c>
      <c r="E61" s="13">
        <f>400/(2524616.65+432682.65)*100</f>
        <v>0.013525854484867325</v>
      </c>
    </row>
    <row r="62" spans="1:5" s="5" customFormat="1" ht="12.75">
      <c r="A62" s="8" t="s">
        <v>208</v>
      </c>
      <c r="B62" s="9" t="s">
        <v>207</v>
      </c>
      <c r="C62" s="7" t="s">
        <v>15</v>
      </c>
      <c r="D62" s="14">
        <v>1</v>
      </c>
      <c r="E62" s="13">
        <f>220.5/(2524616.65+432682.65)*100</f>
        <v>0.007456127284783113</v>
      </c>
    </row>
    <row r="63" spans="1:5" s="5" customFormat="1" ht="12.75">
      <c r="A63" s="8" t="s">
        <v>209</v>
      </c>
      <c r="B63" s="9" t="s">
        <v>207</v>
      </c>
      <c r="C63" s="7" t="s">
        <v>15</v>
      </c>
      <c r="D63" s="14">
        <v>4</v>
      </c>
      <c r="E63" s="13">
        <f>854/(2524616.65+432682.65)*100</f>
        <v>0.028877699325191738</v>
      </c>
    </row>
    <row r="64" spans="1:5" s="5" customFormat="1" ht="12.75">
      <c r="A64" s="8" t="s">
        <v>210</v>
      </c>
      <c r="B64" s="9" t="s">
        <v>211</v>
      </c>
      <c r="C64" s="7" t="s">
        <v>15</v>
      </c>
      <c r="D64" s="14">
        <v>20</v>
      </c>
      <c r="E64" s="13">
        <f>503/(2524616.65+432682.65)*100</f>
        <v>0.017008762014720662</v>
      </c>
    </row>
    <row r="65" spans="1:5" s="5" customFormat="1" ht="12.75">
      <c r="A65" s="8" t="s">
        <v>212</v>
      </c>
      <c r="B65" s="9" t="s">
        <v>213</v>
      </c>
      <c r="C65" s="7" t="s">
        <v>11</v>
      </c>
      <c r="D65" s="14">
        <v>10</v>
      </c>
      <c r="E65" s="13">
        <f>54/(2524616.65+432682.65)*100</f>
        <v>0.001825990355457089</v>
      </c>
    </row>
    <row r="66" spans="1:5" s="5" customFormat="1" ht="12.75">
      <c r="A66" s="8" t="s">
        <v>214</v>
      </c>
      <c r="B66" s="9" t="s">
        <v>215</v>
      </c>
      <c r="C66" s="7" t="s">
        <v>11</v>
      </c>
      <c r="D66" s="14">
        <v>100</v>
      </c>
      <c r="E66" s="13">
        <f>718/(2524616.65+432682.65)*100</f>
        <v>0.02427890880033685</v>
      </c>
    </row>
    <row r="67" spans="1:5" s="5" customFormat="1" ht="12.75">
      <c r="A67" s="8" t="s">
        <v>216</v>
      </c>
      <c r="B67" s="9" t="s">
        <v>217</v>
      </c>
      <c r="C67" s="7" t="s">
        <v>11</v>
      </c>
      <c r="D67" s="14">
        <v>300</v>
      </c>
      <c r="E67" s="13">
        <f>4500/(2524616.65+432682.65)*100</f>
        <v>0.15216586295475742</v>
      </c>
    </row>
    <row r="68" spans="1:5" s="5" customFormat="1" ht="12.75">
      <c r="A68" s="8" t="s">
        <v>218</v>
      </c>
      <c r="B68" s="9" t="s">
        <v>219</v>
      </c>
      <c r="C68" s="7" t="s">
        <v>11</v>
      </c>
      <c r="D68" s="14">
        <v>50</v>
      </c>
      <c r="E68" s="13">
        <f>67.5/(2524616.65+432682.65)*100</f>
        <v>0.0022824879443213613</v>
      </c>
    </row>
    <row r="69" spans="1:5" ht="12.75">
      <c r="A69" s="10"/>
      <c r="B69" s="11" t="s">
        <v>283</v>
      </c>
      <c r="C69" s="12"/>
      <c r="D69" s="15"/>
      <c r="E69" s="74">
        <f>SUM(E34:E68)</f>
        <v>37.24273528891716</v>
      </c>
    </row>
    <row r="70" spans="1:5" ht="12.75">
      <c r="A70" s="22"/>
      <c r="B70" s="23" t="s">
        <v>284</v>
      </c>
      <c r="C70" s="24"/>
      <c r="D70" s="25"/>
      <c r="E70" s="13">
        <f>E69</f>
        <v>37.24273528891716</v>
      </c>
    </row>
    <row r="71" spans="1:5" s="5" customFormat="1" ht="12.75">
      <c r="A71" s="8" t="s">
        <v>220</v>
      </c>
      <c r="B71" s="9" t="s">
        <v>221</v>
      </c>
      <c r="C71" s="7" t="s">
        <v>11</v>
      </c>
      <c r="D71" s="14">
        <v>6160</v>
      </c>
      <c r="E71" s="13">
        <f>9240/(2524616.65+432682.65)*100</f>
        <v>0.3124472386004352</v>
      </c>
    </row>
    <row r="72" spans="1:5" s="5" customFormat="1" ht="12.75">
      <c r="A72" s="8" t="s">
        <v>222</v>
      </c>
      <c r="B72" s="9" t="s">
        <v>223</v>
      </c>
      <c r="C72" s="7" t="s">
        <v>24</v>
      </c>
      <c r="D72" s="14">
        <v>22</v>
      </c>
      <c r="E72" s="13">
        <f>38.72/(2524616.65+432682.65)*100</f>
        <v>0.001309302714135157</v>
      </c>
    </row>
    <row r="73" spans="1:5" s="5" customFormat="1" ht="12.75">
      <c r="A73" s="8" t="s">
        <v>224</v>
      </c>
      <c r="B73" s="9" t="s">
        <v>225</v>
      </c>
      <c r="C73" s="7" t="s">
        <v>24</v>
      </c>
      <c r="D73" s="14">
        <v>18</v>
      </c>
      <c r="E73" s="13">
        <f>37.3/(2524616.65+432682.65)*100</f>
        <v>0.001261285930713878</v>
      </c>
    </row>
    <row r="74" spans="1:5" s="5" customFormat="1" ht="12.75">
      <c r="A74" s="8" t="s">
        <v>226</v>
      </c>
      <c r="B74" s="9" t="s">
        <v>227</v>
      </c>
      <c r="C74" s="7" t="s">
        <v>24</v>
      </c>
      <c r="D74" s="14">
        <v>1</v>
      </c>
      <c r="E74" s="13">
        <f>52.74/(2524616.65+432682.65)*100</f>
        <v>0.0017833839138297568</v>
      </c>
    </row>
    <row r="75" spans="1:5" s="5" customFormat="1" ht="12.75">
      <c r="A75" s="8" t="s">
        <v>228</v>
      </c>
      <c r="B75" s="9" t="s">
        <v>229</v>
      </c>
      <c r="C75" s="7" t="s">
        <v>24</v>
      </c>
      <c r="D75" s="14">
        <v>1</v>
      </c>
      <c r="E75" s="13">
        <f>24.1/(2524616.65+432682.65)*100</f>
        <v>0.0008149327327132565</v>
      </c>
    </row>
    <row r="76" spans="1:5" s="5" customFormat="1" ht="12.75">
      <c r="A76" s="8" t="s">
        <v>230</v>
      </c>
      <c r="B76" s="9" t="s">
        <v>229</v>
      </c>
      <c r="C76" s="7" t="s">
        <v>24</v>
      </c>
      <c r="D76" s="14">
        <v>1</v>
      </c>
      <c r="E76" s="13">
        <f>38/(2524616.65+432682.65)*100</f>
        <v>0.001284956176062396</v>
      </c>
    </row>
    <row r="77" spans="1:5" s="5" customFormat="1" ht="12.75">
      <c r="A77" s="8" t="s">
        <v>231</v>
      </c>
      <c r="B77" s="9" t="s">
        <v>229</v>
      </c>
      <c r="C77" s="7" t="s">
        <v>24</v>
      </c>
      <c r="D77" s="14">
        <v>1</v>
      </c>
      <c r="E77" s="13">
        <f>43.9/(2524616.65+432682.65)*100</f>
        <v>0.001484462529714189</v>
      </c>
    </row>
    <row r="78" spans="1:5" s="5" customFormat="1" ht="12.75">
      <c r="A78" s="8" t="s">
        <v>232</v>
      </c>
      <c r="B78" s="9" t="s">
        <v>233</v>
      </c>
      <c r="C78" s="7" t="s">
        <v>24</v>
      </c>
      <c r="D78" s="14">
        <v>1</v>
      </c>
      <c r="E78" s="13">
        <f>1350/(2524616.65+432682.65)*100</f>
        <v>0.04564975888642722</v>
      </c>
    </row>
    <row r="79" spans="1:5" s="5" customFormat="1" ht="12.75">
      <c r="A79" s="8" t="s">
        <v>179</v>
      </c>
      <c r="B79" s="9" t="s">
        <v>180</v>
      </c>
      <c r="C79" s="7" t="s">
        <v>17</v>
      </c>
      <c r="D79" s="14">
        <v>12</v>
      </c>
      <c r="E79" s="13">
        <f>1179.48/(2524616.65+432682.65)*100</f>
        <v>0.039883687119528284</v>
      </c>
    </row>
    <row r="80" spans="1:5" ht="12.75">
      <c r="A80" s="8" t="s">
        <v>181</v>
      </c>
      <c r="B80" s="9" t="s">
        <v>182</v>
      </c>
      <c r="C80" s="7" t="s">
        <v>11</v>
      </c>
      <c r="D80" s="14">
        <v>120</v>
      </c>
      <c r="E80" s="13">
        <f>810/(2524616.65+432682.65)*100</f>
        <v>0.027389855331856335</v>
      </c>
    </row>
    <row r="81" spans="1:5" ht="12.75">
      <c r="A81" s="8" t="s">
        <v>183</v>
      </c>
      <c r="B81" s="9" t="s">
        <v>184</v>
      </c>
      <c r="C81" s="7" t="s">
        <v>15</v>
      </c>
      <c r="D81" s="14">
        <v>2</v>
      </c>
      <c r="E81" s="13">
        <f>154.94/(2524616.65+432682.65)*100</f>
        <v>0.005239239734713358</v>
      </c>
    </row>
    <row r="82" spans="1:5" ht="12.75">
      <c r="A82" s="8" t="s">
        <v>185</v>
      </c>
      <c r="B82" s="9" t="s">
        <v>186</v>
      </c>
      <c r="C82" s="7" t="s">
        <v>11</v>
      </c>
      <c r="D82" s="14">
        <v>1000</v>
      </c>
      <c r="E82" s="13">
        <f>3660/(2524616.65+432682.65)*100</f>
        <v>0.12376156853653603</v>
      </c>
    </row>
    <row r="83" spans="1:5" ht="12.75">
      <c r="A83" s="8"/>
      <c r="B83" s="21" t="s">
        <v>234</v>
      </c>
      <c r="C83" s="7"/>
      <c r="D83" s="14"/>
      <c r="E83" s="13">
        <f>SUM(E70:E82)</f>
        <v>37.80504496112383</v>
      </c>
    </row>
    <row r="84" spans="1:5" ht="12.75">
      <c r="A84" s="8"/>
      <c r="B84" s="21" t="s">
        <v>235</v>
      </c>
      <c r="C84" s="7"/>
      <c r="D84" s="14"/>
      <c r="E84" s="13"/>
    </row>
    <row r="85" spans="1:5" ht="12.75">
      <c r="A85" s="8" t="s">
        <v>10</v>
      </c>
      <c r="B85" s="9" t="s">
        <v>236</v>
      </c>
      <c r="C85" s="7" t="s">
        <v>11</v>
      </c>
      <c r="D85" s="14">
        <v>1371</v>
      </c>
      <c r="E85" s="13">
        <f>6059.82/(2524616.65+432682.65)*100</f>
        <v>0.20491060881122178</v>
      </c>
    </row>
    <row r="86" spans="1:5" ht="12.75">
      <c r="A86" s="8" t="s">
        <v>12</v>
      </c>
      <c r="B86" s="9" t="s">
        <v>236</v>
      </c>
      <c r="C86" s="7" t="s">
        <v>11</v>
      </c>
      <c r="D86" s="14">
        <v>1800</v>
      </c>
      <c r="E86" s="13">
        <f>11790/(2524616.65+432682.65)*100</f>
        <v>0.3986745609414645</v>
      </c>
    </row>
    <row r="87" spans="1:5" ht="12.75">
      <c r="A87" s="8" t="s">
        <v>16</v>
      </c>
      <c r="B87" s="9" t="s">
        <v>237</v>
      </c>
      <c r="C87" s="7" t="s">
        <v>17</v>
      </c>
      <c r="D87" s="14">
        <v>9000</v>
      </c>
      <c r="E87" s="13">
        <f>41220/(2524616.65+432682.65)*100</f>
        <v>1.393839304665578</v>
      </c>
    </row>
    <row r="88" spans="1:5" ht="12.75">
      <c r="A88" s="8" t="s">
        <v>238</v>
      </c>
      <c r="B88" s="9" t="s">
        <v>239</v>
      </c>
      <c r="C88" s="7" t="s">
        <v>17</v>
      </c>
      <c r="D88" s="14">
        <v>50</v>
      </c>
      <c r="E88" s="13">
        <f>4903.5/(2524616.65+432682.65)*100</f>
        <v>0.16581006866636733</v>
      </c>
    </row>
    <row r="89" spans="1:5" ht="12.75">
      <c r="A89" s="8" t="s">
        <v>240</v>
      </c>
      <c r="B89" s="9" t="s">
        <v>241</v>
      </c>
      <c r="C89" s="7" t="s">
        <v>8</v>
      </c>
      <c r="D89" s="14">
        <v>1340.3</v>
      </c>
      <c r="E89" s="13">
        <f>42889.6/(2524616.65+432682.65)*100</f>
        <v>1.450296221285414</v>
      </c>
    </row>
    <row r="90" spans="1:5" ht="12.75">
      <c r="A90" s="8" t="s">
        <v>9</v>
      </c>
      <c r="B90" s="9" t="s">
        <v>242</v>
      </c>
      <c r="C90" s="7" t="s">
        <v>8</v>
      </c>
      <c r="D90" s="14">
        <v>860</v>
      </c>
      <c r="E90" s="13">
        <f>13132.2/(2524616.65+432682.65)*100</f>
        <v>0.4440605656654367</v>
      </c>
    </row>
    <row r="91" spans="1:5" ht="12.75">
      <c r="A91" s="8" t="s">
        <v>243</v>
      </c>
      <c r="B91" s="9" t="s">
        <v>244</v>
      </c>
      <c r="C91" s="7" t="s">
        <v>8</v>
      </c>
      <c r="D91" s="14">
        <v>5</v>
      </c>
      <c r="E91" s="13">
        <f>742.55/(2524616.65+432682.65)*100</f>
        <v>0.025109058119345582</v>
      </c>
    </row>
    <row r="92" spans="1:5" ht="12.75">
      <c r="A92" s="8" t="s">
        <v>25</v>
      </c>
      <c r="B92" s="9" t="s">
        <v>245</v>
      </c>
      <c r="C92" s="7" t="s">
        <v>11</v>
      </c>
      <c r="D92" s="14">
        <v>452</v>
      </c>
      <c r="E92" s="13">
        <f>10504.48/(2524616.65+432682.65)*100</f>
        <v>0.3552051697979978</v>
      </c>
    </row>
    <row r="93" spans="1:5" ht="12.75">
      <c r="A93" s="8" t="s">
        <v>26</v>
      </c>
      <c r="B93" s="9" t="s">
        <v>246</v>
      </c>
      <c r="C93" s="7" t="s">
        <v>11</v>
      </c>
      <c r="D93" s="14">
        <v>225</v>
      </c>
      <c r="E93" s="13">
        <f>9297/(2524616.65+432682.65)*100</f>
        <v>0.3143746728645288</v>
      </c>
    </row>
    <row r="94" spans="1:5" ht="12.75">
      <c r="A94" s="8" t="s">
        <v>249</v>
      </c>
      <c r="B94" s="9" t="s">
        <v>250</v>
      </c>
      <c r="C94" s="7" t="s">
        <v>11</v>
      </c>
      <c r="D94" s="14">
        <v>100</v>
      </c>
      <c r="E94" s="13">
        <f>6197/(2524616.65+432682.65)*100</f>
        <v>0.20954930060680704</v>
      </c>
    </row>
    <row r="95" spans="1:5" ht="12.75">
      <c r="A95" s="8" t="s">
        <v>247</v>
      </c>
      <c r="B95" s="9" t="s">
        <v>248</v>
      </c>
      <c r="C95" s="7" t="s">
        <v>11</v>
      </c>
      <c r="D95" s="14">
        <v>175</v>
      </c>
      <c r="E95" s="13">
        <f>13557.25/(2524616.65+432682.65)*100</f>
        <v>0.45843347678741886</v>
      </c>
    </row>
    <row r="96" spans="1:5" ht="12.75">
      <c r="A96" s="8" t="s">
        <v>27</v>
      </c>
      <c r="B96" s="9" t="s">
        <v>251</v>
      </c>
      <c r="C96" s="7" t="s">
        <v>11</v>
      </c>
      <c r="D96" s="14">
        <v>96</v>
      </c>
      <c r="E96" s="13">
        <f>7222.08/(2524616.65+432682.65)*100</f>
        <v>0.24421200789517652</v>
      </c>
    </row>
    <row r="97" spans="1:5" ht="12.75">
      <c r="A97" s="8" t="s">
        <v>28</v>
      </c>
      <c r="B97" s="9" t="s">
        <v>252</v>
      </c>
      <c r="C97" s="7" t="s">
        <v>24</v>
      </c>
      <c r="D97" s="14">
        <v>27</v>
      </c>
      <c r="E97" s="13">
        <f>1185.3/(2524616.65+432682.65)*100</f>
        <v>0.0400804883022831</v>
      </c>
    </row>
    <row r="98" spans="1:5" s="65" customFormat="1" ht="12.75">
      <c r="A98" s="8" t="s">
        <v>282</v>
      </c>
      <c r="B98" s="9" t="s">
        <v>253</v>
      </c>
      <c r="C98" s="7" t="s">
        <v>24</v>
      </c>
      <c r="D98" s="14">
        <v>9</v>
      </c>
      <c r="E98" s="13">
        <f>766.98/(2524616.65+432682.65)*100</f>
        <v>0.025935149682008853</v>
      </c>
    </row>
    <row r="99" spans="1:5" ht="12.75">
      <c r="A99" s="8" t="s">
        <v>29</v>
      </c>
      <c r="B99" s="9" t="s">
        <v>254</v>
      </c>
      <c r="C99" s="7" t="s">
        <v>24</v>
      </c>
      <c r="D99" s="14">
        <v>9</v>
      </c>
      <c r="E99" s="13">
        <f>2091.69/(2524616.65+432682.65)*100</f>
        <v>0.07072973641863034</v>
      </c>
    </row>
    <row r="100" spans="1:5" ht="12.75">
      <c r="A100" s="8" t="s">
        <v>255</v>
      </c>
      <c r="B100" s="9" t="s">
        <v>256</v>
      </c>
      <c r="C100" s="7" t="s">
        <v>24</v>
      </c>
      <c r="D100" s="14">
        <v>45</v>
      </c>
      <c r="E100" s="13">
        <f>557.55/(2524616.65+432682.65)*100</f>
        <v>0.018853350420094443</v>
      </c>
    </row>
    <row r="101" spans="1:5" ht="12.75">
      <c r="A101" s="8" t="s">
        <v>30</v>
      </c>
      <c r="B101" s="9" t="s">
        <v>257</v>
      </c>
      <c r="C101" s="7" t="s">
        <v>24</v>
      </c>
      <c r="D101" s="14">
        <v>21</v>
      </c>
      <c r="E101" s="13">
        <f>4446.75/(2524616.65+432682.65)*100</f>
        <v>0.15036523357645945</v>
      </c>
    </row>
    <row r="102" spans="1:5" ht="12.75">
      <c r="A102" s="8" t="s">
        <v>31</v>
      </c>
      <c r="B102" s="9" t="s">
        <v>258</v>
      </c>
      <c r="C102" s="7" t="s">
        <v>24</v>
      </c>
      <c r="D102" s="14">
        <v>35</v>
      </c>
      <c r="E102" s="13">
        <f>9038.05/(2524616.65+432682.65)*100</f>
        <v>0.3056183728173878</v>
      </c>
    </row>
    <row r="103" spans="1:5" s="65" customFormat="1" ht="12.75">
      <c r="A103" s="8" t="s">
        <v>259</v>
      </c>
      <c r="B103" s="9" t="s">
        <v>260</v>
      </c>
      <c r="C103" s="7" t="s">
        <v>24</v>
      </c>
      <c r="D103" s="14">
        <v>25</v>
      </c>
      <c r="E103" s="13">
        <f>516.5/(2524616.65+432682.65)*100</f>
        <v>0.017465259603584932</v>
      </c>
    </row>
    <row r="104" spans="1:5" ht="12.75">
      <c r="A104" s="8" t="s">
        <v>6</v>
      </c>
      <c r="B104" s="9" t="s">
        <v>7</v>
      </c>
      <c r="C104" s="7" t="s">
        <v>8</v>
      </c>
      <c r="D104" s="14">
        <v>20800</v>
      </c>
      <c r="E104" s="13">
        <f>424320/(2524616.65+432682.65)*100</f>
        <v>14.34822643754726</v>
      </c>
    </row>
    <row r="105" spans="1:5" ht="12.75">
      <c r="A105" s="10"/>
      <c r="B105" s="11" t="s">
        <v>52</v>
      </c>
      <c r="C105" s="12"/>
      <c r="D105" s="15"/>
      <c r="E105" s="74">
        <f>SUM(E82:E104)-(E98+E103)</f>
        <v>58.52715516484923</v>
      </c>
    </row>
    <row r="106" spans="1:5" ht="12.75">
      <c r="A106" s="22"/>
      <c r="B106" s="23" t="s">
        <v>53</v>
      </c>
      <c r="C106" s="24"/>
      <c r="D106" s="25"/>
      <c r="E106" s="13">
        <f>E105</f>
        <v>58.52715516484923</v>
      </c>
    </row>
    <row r="107" spans="1:5" ht="12.75">
      <c r="A107" s="8" t="s">
        <v>32</v>
      </c>
      <c r="B107" s="9" t="s">
        <v>261</v>
      </c>
      <c r="C107" s="7" t="s">
        <v>8</v>
      </c>
      <c r="D107" s="14">
        <v>13782.5</v>
      </c>
      <c r="E107" s="13">
        <f>166492.6/(2524616.65+432682.65)*100</f>
        <v>5.629886701018054</v>
      </c>
    </row>
    <row r="108" spans="1:5" ht="12.75">
      <c r="A108" s="8" t="s">
        <v>33</v>
      </c>
      <c r="B108" s="9" t="s">
        <v>36</v>
      </c>
      <c r="C108" s="7" t="s">
        <v>17</v>
      </c>
      <c r="D108" s="14">
        <v>21500</v>
      </c>
      <c r="E108" s="13">
        <f>10750/(2524616.65+432682.65)*100</f>
        <v>0.36350733928080936</v>
      </c>
    </row>
    <row r="109" spans="1:5" ht="12.75">
      <c r="A109" s="8" t="s">
        <v>37</v>
      </c>
      <c r="B109" s="9" t="s">
        <v>262</v>
      </c>
      <c r="C109" s="7" t="s">
        <v>17</v>
      </c>
      <c r="D109" s="14">
        <v>43000</v>
      </c>
      <c r="E109" s="13">
        <f>292400/(2524616.65+432682.65)*100</f>
        <v>9.887399628438015</v>
      </c>
    </row>
    <row r="110" spans="1:5" ht="12.75">
      <c r="A110" s="8" t="s">
        <v>263</v>
      </c>
      <c r="B110" s="63" t="s">
        <v>266</v>
      </c>
      <c r="C110" s="7" t="s">
        <v>17</v>
      </c>
      <c r="D110" s="64">
        <v>21500</v>
      </c>
      <c r="E110" s="13">
        <f>108360/(2524616.65+432682.65)*100</f>
        <v>3.6641539799505587</v>
      </c>
    </row>
    <row r="111" spans="1:5" ht="12.75">
      <c r="A111" s="8" t="s">
        <v>264</v>
      </c>
      <c r="B111" s="63" t="s">
        <v>265</v>
      </c>
      <c r="C111" s="7" t="s">
        <v>17</v>
      </c>
      <c r="D111" s="64">
        <v>21500</v>
      </c>
      <c r="E111" s="13">
        <f>76755/(2524616.65+432682.65)*100</f>
        <v>2.595442402464979</v>
      </c>
    </row>
    <row r="112" spans="1:5" ht="12.75">
      <c r="A112" s="8" t="s">
        <v>267</v>
      </c>
      <c r="B112" s="63" t="s">
        <v>268</v>
      </c>
      <c r="C112" s="7" t="s">
        <v>17</v>
      </c>
      <c r="D112" s="64">
        <v>1286.52</v>
      </c>
      <c r="E112" s="13">
        <f>8362.68/(2524616.65+432682.65)*100</f>
        <v>0.2827809819587757</v>
      </c>
    </row>
    <row r="113" spans="1:5" ht="12.75">
      <c r="A113" s="8" t="s">
        <v>240</v>
      </c>
      <c r="B113" s="63" t="s">
        <v>241</v>
      </c>
      <c r="C113" s="7" t="s">
        <v>8</v>
      </c>
      <c r="D113" s="64">
        <v>1450</v>
      </c>
      <c r="E113" s="13">
        <f>46400/(2524616.65+432682.65)*100</f>
        <v>1.5689991202446099</v>
      </c>
    </row>
    <row r="114" spans="1:5" ht="12.75">
      <c r="A114" s="8" t="s">
        <v>9</v>
      </c>
      <c r="B114" s="63" t="s">
        <v>269</v>
      </c>
      <c r="C114" s="7" t="s">
        <v>8</v>
      </c>
      <c r="D114" s="64">
        <v>1345</v>
      </c>
      <c r="E114" s="13">
        <f>20538.15/(2524616.65+432682.65)*100</f>
        <v>0.6944900707209447</v>
      </c>
    </row>
    <row r="115" spans="1:5" ht="12.75">
      <c r="A115" s="8" t="s">
        <v>243</v>
      </c>
      <c r="B115" s="63" t="s">
        <v>270</v>
      </c>
      <c r="C115" s="7" t="s">
        <v>8</v>
      </c>
      <c r="D115" s="64">
        <v>102</v>
      </c>
      <c r="E115" s="13">
        <f>15148.02/(2524616.65+432682.65)*100</f>
        <v>0.5122247856346499</v>
      </c>
    </row>
    <row r="116" spans="1:5" ht="12.75">
      <c r="A116" s="8" t="s">
        <v>271</v>
      </c>
      <c r="B116" s="63" t="s">
        <v>272</v>
      </c>
      <c r="C116" s="7" t="s">
        <v>15</v>
      </c>
      <c r="D116" s="64">
        <v>10</v>
      </c>
      <c r="E116" s="13">
        <f>200/(2524616.65+432682.65)*100</f>
        <v>0.006762927242433663</v>
      </c>
    </row>
    <row r="117" spans="1:5" ht="12.75">
      <c r="A117" s="8" t="s">
        <v>183</v>
      </c>
      <c r="B117" s="63" t="s">
        <v>273</v>
      </c>
      <c r="C117" s="7" t="s">
        <v>15</v>
      </c>
      <c r="D117" s="64">
        <v>225</v>
      </c>
      <c r="E117" s="13">
        <f>17430.75/(2524616.65+432682.65)*100</f>
        <v>0.5894144701552528</v>
      </c>
    </row>
    <row r="118" spans="1:5" ht="12.75">
      <c r="A118" s="8" t="s">
        <v>276</v>
      </c>
      <c r="B118" s="63" t="s">
        <v>275</v>
      </c>
      <c r="C118" s="7" t="s">
        <v>11</v>
      </c>
      <c r="D118" s="64">
        <v>6260</v>
      </c>
      <c r="E118" s="13">
        <f>27293.6/(2524616.65+432682.65)*100</f>
        <v>0.9229231549204371</v>
      </c>
    </row>
    <row r="119" spans="1:5" ht="12.75">
      <c r="A119" s="8" t="s">
        <v>274</v>
      </c>
      <c r="B119" s="63" t="s">
        <v>277</v>
      </c>
      <c r="C119" s="7" t="s">
        <v>11</v>
      </c>
      <c r="D119" s="64">
        <v>4150</v>
      </c>
      <c r="E119" s="13">
        <f>4150/(2524616.65+432682.65)*100</f>
        <v>0.1403307402804985</v>
      </c>
    </row>
    <row r="120" spans="1:5" ht="12.75">
      <c r="A120" s="8" t="s">
        <v>278</v>
      </c>
      <c r="B120" s="63" t="s">
        <v>279</v>
      </c>
      <c r="C120" s="7" t="s">
        <v>11</v>
      </c>
      <c r="D120" s="64">
        <v>4150</v>
      </c>
      <c r="E120" s="13">
        <f>2075/(2524616.65+432682.65)*100</f>
        <v>0.07016537014024925</v>
      </c>
    </row>
    <row r="121" spans="1:5" ht="12.75">
      <c r="A121" s="8" t="s">
        <v>280</v>
      </c>
      <c r="B121" s="63" t="s">
        <v>281</v>
      </c>
      <c r="C121" s="7" t="s">
        <v>24</v>
      </c>
      <c r="D121" s="64">
        <v>61</v>
      </c>
      <c r="E121" s="13">
        <f>1098/(2524616.65+432682.65)*100</f>
        <v>0.03712847056096081</v>
      </c>
    </row>
    <row r="122" spans="1:5" ht="12.75">
      <c r="A122" s="26"/>
      <c r="B122" s="27" t="s">
        <v>56</v>
      </c>
      <c r="C122" s="26"/>
      <c r="D122" s="26"/>
      <c r="E122" s="66">
        <f>SUM(E106:E121)</f>
        <v>85.49276530786047</v>
      </c>
    </row>
    <row r="123" spans="1:5" ht="12.75">
      <c r="A123" s="67"/>
      <c r="B123" s="68"/>
      <c r="C123" s="69"/>
      <c r="D123" s="68"/>
      <c r="E123" s="70"/>
    </row>
    <row r="124" spans="1:5" ht="12.75">
      <c r="A124" s="71"/>
      <c r="B124" s="5"/>
      <c r="C124" s="72"/>
      <c r="D124" s="5"/>
      <c r="E124" s="73"/>
    </row>
    <row r="125" spans="1:5" ht="12.75">
      <c r="A125" s="71"/>
      <c r="B125" s="5"/>
      <c r="C125" s="72"/>
      <c r="D125" s="5"/>
      <c r="E125" s="73"/>
    </row>
    <row r="126" spans="1:5" ht="12.75">
      <c r="A126" s="71"/>
      <c r="B126" s="5"/>
      <c r="C126" s="72"/>
      <c r="D126" s="5"/>
      <c r="E126" s="73"/>
    </row>
    <row r="127" spans="1:5" ht="12.75">
      <c r="A127" s="71"/>
      <c r="B127" s="5"/>
      <c r="C127" s="72"/>
      <c r="D127" s="5"/>
      <c r="E127" s="73"/>
    </row>
    <row r="128" spans="1:5" ht="12.75">
      <c r="A128" s="71"/>
      <c r="B128" s="5"/>
      <c r="C128" s="72"/>
      <c r="D128" s="5"/>
      <c r="E128" s="73"/>
    </row>
    <row r="129" spans="1:5" ht="12.75">
      <c r="A129" s="71"/>
      <c r="B129" s="5"/>
      <c r="C129" s="72"/>
      <c r="D129" s="5"/>
      <c r="E129" s="73"/>
    </row>
    <row r="130" spans="1:5" ht="12.75">
      <c r="A130" s="5"/>
      <c r="B130" s="5"/>
      <c r="C130" s="72"/>
      <c r="D130" s="5"/>
      <c r="E130" s="73"/>
    </row>
  </sheetData>
  <mergeCells count="3">
    <mergeCell ref="A3:D3"/>
    <mergeCell ref="A1:D1"/>
    <mergeCell ref="A2:D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G26"/>
    </sheetView>
  </sheetViews>
  <sheetFormatPr defaultColWidth="9.140625" defaultRowHeight="12.75"/>
  <cols>
    <col min="1" max="1" width="5.28125" style="0" customWidth="1"/>
    <col min="2" max="2" width="31.57421875" style="0" customWidth="1"/>
    <col min="3" max="4" width="8.140625" style="0" customWidth="1"/>
    <col min="6" max="6" width="15.8515625" style="0" customWidth="1"/>
  </cols>
  <sheetData>
    <row r="1" spans="1:2" ht="18" customHeight="1">
      <c r="A1" s="49" t="s">
        <v>57</v>
      </c>
      <c r="B1" s="49"/>
    </row>
    <row r="2" spans="1:4" ht="18" customHeight="1">
      <c r="A2" s="49" t="s">
        <v>58</v>
      </c>
      <c r="B2" s="49"/>
      <c r="C2" s="6"/>
      <c r="D2" s="6"/>
    </row>
    <row r="3" ht="18" customHeight="1"/>
    <row r="4" spans="1:7" ht="18" customHeight="1">
      <c r="A4" s="28" t="s">
        <v>59</v>
      </c>
      <c r="B4" s="55" t="s">
        <v>60</v>
      </c>
      <c r="C4" s="56"/>
      <c r="D4" s="56"/>
      <c r="E4" s="56"/>
      <c r="F4" s="57"/>
      <c r="G4" s="28" t="s">
        <v>61</v>
      </c>
    </row>
    <row r="5" spans="1:7" ht="45" customHeight="1">
      <c r="A5" s="26"/>
      <c r="B5" s="51"/>
      <c r="C5" s="52"/>
      <c r="D5" s="52"/>
      <c r="E5" s="52"/>
      <c r="F5" s="53"/>
      <c r="G5" s="26"/>
    </row>
    <row r="6" spans="1:7" ht="18" customHeight="1" thickBot="1">
      <c r="A6" s="54"/>
      <c r="B6" s="54"/>
      <c r="C6" s="54"/>
      <c r="D6" s="54"/>
      <c r="E6" s="54"/>
      <c r="F6" s="54"/>
      <c r="G6" s="54"/>
    </row>
    <row r="7" spans="1:7" ht="18" customHeight="1" thickBot="1">
      <c r="A7" s="37" t="s">
        <v>62</v>
      </c>
      <c r="B7" s="38" t="s">
        <v>63</v>
      </c>
      <c r="C7" s="38" t="s">
        <v>64</v>
      </c>
      <c r="D7" s="38" t="s">
        <v>65</v>
      </c>
      <c r="E7" s="38" t="s">
        <v>66</v>
      </c>
      <c r="F7" s="38" t="s">
        <v>67</v>
      </c>
      <c r="G7" s="39" t="s">
        <v>68</v>
      </c>
    </row>
    <row r="8" spans="1:7" ht="18" customHeight="1">
      <c r="A8" s="35">
        <v>1</v>
      </c>
      <c r="B8" s="36" t="s">
        <v>69</v>
      </c>
      <c r="C8" s="35"/>
      <c r="D8" s="40"/>
      <c r="E8" s="42"/>
      <c r="F8" s="42"/>
      <c r="G8" s="40"/>
    </row>
    <row r="9" spans="1:7" ht="18" customHeight="1">
      <c r="A9" s="30" t="s">
        <v>70</v>
      </c>
      <c r="B9" s="32" t="s">
        <v>71</v>
      </c>
      <c r="C9" s="30"/>
      <c r="D9" s="41"/>
      <c r="E9" s="43"/>
      <c r="F9" s="43"/>
      <c r="G9" s="41"/>
    </row>
    <row r="10" spans="1:7" ht="18" customHeight="1">
      <c r="A10" s="30" t="s">
        <v>72</v>
      </c>
      <c r="B10" s="32" t="s">
        <v>73</v>
      </c>
      <c r="C10" s="30"/>
      <c r="D10" s="41"/>
      <c r="E10" s="43"/>
      <c r="F10" s="43"/>
      <c r="G10" s="41"/>
    </row>
    <row r="11" spans="1:7" ht="18" customHeight="1">
      <c r="A11" s="30" t="s">
        <v>74</v>
      </c>
      <c r="B11" s="32" t="s">
        <v>75</v>
      </c>
      <c r="C11" s="30"/>
      <c r="D11" s="41"/>
      <c r="E11" s="43"/>
      <c r="F11" s="43"/>
      <c r="G11" s="41"/>
    </row>
    <row r="12" spans="1:7" ht="18" customHeight="1">
      <c r="A12" s="30"/>
      <c r="B12" s="26" t="s">
        <v>95</v>
      </c>
      <c r="C12" s="30"/>
      <c r="D12" s="41"/>
      <c r="E12" s="43"/>
      <c r="F12" s="43"/>
      <c r="G12" s="41"/>
    </row>
    <row r="13" spans="1:7" ht="18" customHeight="1">
      <c r="A13" s="30" t="s">
        <v>70</v>
      </c>
      <c r="B13" s="32" t="s">
        <v>96</v>
      </c>
      <c r="C13" s="30"/>
      <c r="D13" s="41"/>
      <c r="E13" s="43"/>
      <c r="F13" s="43"/>
      <c r="G13" s="41"/>
    </row>
    <row r="14" spans="1:7" ht="18" customHeight="1">
      <c r="A14" s="30" t="s">
        <v>76</v>
      </c>
      <c r="B14" s="31" t="s">
        <v>77</v>
      </c>
      <c r="C14" s="30"/>
      <c r="D14" s="41"/>
      <c r="E14" s="43"/>
      <c r="F14" s="43"/>
      <c r="G14" s="41"/>
    </row>
    <row r="15" spans="1:7" ht="18" customHeight="1">
      <c r="A15" s="30" t="s">
        <v>78</v>
      </c>
      <c r="B15" s="32" t="s">
        <v>79</v>
      </c>
      <c r="C15" s="30"/>
      <c r="D15" s="41"/>
      <c r="E15" s="43"/>
      <c r="F15" s="43"/>
      <c r="G15" s="41"/>
    </row>
    <row r="16" spans="1:7" ht="18" customHeight="1">
      <c r="A16" s="30" t="s">
        <v>80</v>
      </c>
      <c r="B16" s="33" t="s">
        <v>81</v>
      </c>
      <c r="C16" s="30"/>
      <c r="D16" s="41"/>
      <c r="E16" s="43"/>
      <c r="F16" s="43"/>
      <c r="G16" s="41"/>
    </row>
    <row r="17" spans="1:7" ht="18" customHeight="1">
      <c r="A17" s="30" t="s">
        <v>82</v>
      </c>
      <c r="B17" s="32" t="s">
        <v>79</v>
      </c>
      <c r="C17" s="30"/>
      <c r="D17" s="41"/>
      <c r="E17" s="43"/>
      <c r="F17" s="43"/>
      <c r="G17" s="41"/>
    </row>
    <row r="18" spans="1:7" ht="18" customHeight="1">
      <c r="A18" s="30" t="s">
        <v>83</v>
      </c>
      <c r="B18" s="31" t="s">
        <v>84</v>
      </c>
      <c r="C18" s="30"/>
      <c r="D18" s="41"/>
      <c r="E18" s="43"/>
      <c r="F18" s="43"/>
      <c r="G18" s="41"/>
    </row>
    <row r="19" spans="1:7" ht="18" customHeight="1">
      <c r="A19" s="30" t="s">
        <v>85</v>
      </c>
      <c r="B19" s="32" t="s">
        <v>79</v>
      </c>
      <c r="C19" s="30"/>
      <c r="D19" s="41"/>
      <c r="E19" s="43"/>
      <c r="F19" s="43"/>
      <c r="G19" s="41"/>
    </row>
    <row r="20" spans="1:7" ht="18" customHeight="1">
      <c r="A20" s="30" t="s">
        <v>86</v>
      </c>
      <c r="B20" s="34" t="s">
        <v>87</v>
      </c>
      <c r="C20" s="30"/>
      <c r="D20" s="41"/>
      <c r="E20" s="43"/>
      <c r="F20" s="43"/>
      <c r="G20" s="41">
        <v>100</v>
      </c>
    </row>
    <row r="21" spans="1:7" ht="18" customHeight="1">
      <c r="A21" s="30" t="s">
        <v>88</v>
      </c>
      <c r="B21" s="31" t="s">
        <v>89</v>
      </c>
      <c r="C21" s="30"/>
      <c r="D21" s="41"/>
      <c r="E21" s="43"/>
      <c r="F21" s="43"/>
      <c r="G21" s="41"/>
    </row>
    <row r="22" spans="1:7" ht="18" customHeight="1">
      <c r="A22" s="30" t="s">
        <v>90</v>
      </c>
      <c r="B22" s="34" t="s">
        <v>87</v>
      </c>
      <c r="C22" s="30"/>
      <c r="D22" s="41"/>
      <c r="E22" s="43"/>
      <c r="F22" s="43"/>
      <c r="G22" s="41"/>
    </row>
    <row r="23" spans="1:7" ht="18" customHeight="1">
      <c r="A23" s="30" t="s">
        <v>91</v>
      </c>
      <c r="B23" s="31" t="s">
        <v>97</v>
      </c>
      <c r="C23" s="30"/>
      <c r="D23" s="41"/>
      <c r="E23" s="43"/>
      <c r="F23" s="43"/>
      <c r="G23" s="41"/>
    </row>
    <row r="24" spans="1:7" ht="18" customHeight="1">
      <c r="A24" s="30" t="s">
        <v>92</v>
      </c>
      <c r="B24" s="34" t="s">
        <v>87</v>
      </c>
      <c r="C24" s="30"/>
      <c r="D24" s="41"/>
      <c r="E24" s="43"/>
      <c r="F24" s="43"/>
      <c r="G24" s="41"/>
    </row>
    <row r="25" spans="1:7" ht="18" customHeight="1">
      <c r="A25" s="30" t="s">
        <v>93</v>
      </c>
      <c r="B25" s="29" t="s">
        <v>94</v>
      </c>
      <c r="C25" s="30"/>
      <c r="D25" s="41"/>
      <c r="E25" s="43"/>
      <c r="F25" s="43"/>
      <c r="G25" s="41"/>
    </row>
    <row r="26" spans="1:7" ht="18" customHeight="1">
      <c r="A26" s="26"/>
      <c r="B26" s="34" t="s">
        <v>56</v>
      </c>
      <c r="C26" s="30"/>
      <c r="D26" s="41"/>
      <c r="E26" s="43"/>
      <c r="F26" s="43"/>
      <c r="G26" s="41"/>
    </row>
  </sheetData>
  <mergeCells count="5">
    <mergeCell ref="B5:F5"/>
    <mergeCell ref="A6:G6"/>
    <mergeCell ref="A1:B1"/>
    <mergeCell ref="B4:F4"/>
    <mergeCell ref="A2:B2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:I24"/>
    </sheetView>
  </sheetViews>
  <sheetFormatPr defaultColWidth="9.140625" defaultRowHeight="12.75"/>
  <cols>
    <col min="6" max="6" width="2.8515625" style="0" customWidth="1"/>
    <col min="7" max="7" width="14.140625" style="0" customWidth="1"/>
    <col min="8" max="8" width="11.57421875" style="0" customWidth="1"/>
    <col min="9" max="9" width="9.421875" style="0" customWidth="1"/>
  </cols>
  <sheetData>
    <row r="1" spans="1:2" ht="18" customHeight="1">
      <c r="A1" s="49" t="s">
        <v>98</v>
      </c>
      <c r="B1" s="49"/>
    </row>
    <row r="2" spans="1:7" ht="18" customHeight="1">
      <c r="A2" s="49" t="s">
        <v>99</v>
      </c>
      <c r="B2" s="49"/>
      <c r="C2" s="49"/>
      <c r="D2" s="49"/>
      <c r="E2" s="49"/>
      <c r="F2" s="49"/>
      <c r="G2" s="49"/>
    </row>
    <row r="4" spans="1:9" ht="18" customHeight="1">
      <c r="A4" s="61" t="s">
        <v>103</v>
      </c>
      <c r="B4" s="62"/>
      <c r="C4" s="62"/>
      <c r="D4" s="62"/>
      <c r="E4" s="62"/>
      <c r="F4" s="62"/>
      <c r="G4" s="44" t="s">
        <v>100</v>
      </c>
      <c r="H4" s="26" t="s">
        <v>101</v>
      </c>
      <c r="I4" s="45" t="s">
        <v>102</v>
      </c>
    </row>
    <row r="5" spans="1:9" ht="18" customHeight="1">
      <c r="A5" s="58" t="s">
        <v>104</v>
      </c>
      <c r="B5" s="59"/>
      <c r="C5" s="59"/>
      <c r="D5" s="59"/>
      <c r="E5" s="59"/>
      <c r="F5" s="60"/>
      <c r="G5" s="47"/>
      <c r="H5" s="47"/>
      <c r="I5" s="46"/>
    </row>
    <row r="6" spans="1:9" ht="18" customHeight="1">
      <c r="A6" s="58" t="s">
        <v>105</v>
      </c>
      <c r="B6" s="59"/>
      <c r="C6" s="59"/>
      <c r="D6" s="59"/>
      <c r="E6" s="59"/>
      <c r="F6" s="60"/>
      <c r="G6" s="47"/>
      <c r="H6" s="47"/>
      <c r="I6" s="46"/>
    </row>
    <row r="7" spans="1:9" ht="18" customHeight="1">
      <c r="A7" s="58" t="s">
        <v>106</v>
      </c>
      <c r="B7" s="59"/>
      <c r="C7" s="59"/>
      <c r="D7" s="59"/>
      <c r="E7" s="59"/>
      <c r="F7" s="60"/>
      <c r="G7" s="47"/>
      <c r="H7" s="47"/>
      <c r="I7" s="46"/>
    </row>
    <row r="8" spans="1:9" ht="27" customHeight="1">
      <c r="A8" s="58" t="s">
        <v>107</v>
      </c>
      <c r="B8" s="59"/>
      <c r="C8" s="59"/>
      <c r="D8" s="59"/>
      <c r="E8" s="59"/>
      <c r="F8" s="60"/>
      <c r="G8" s="47"/>
      <c r="H8" s="47"/>
      <c r="I8" s="46"/>
    </row>
    <row r="9" spans="1:9" ht="18" customHeight="1">
      <c r="A9" s="58" t="s">
        <v>108</v>
      </c>
      <c r="B9" s="59"/>
      <c r="C9" s="59"/>
      <c r="D9" s="59"/>
      <c r="E9" s="59"/>
      <c r="F9" s="60"/>
      <c r="G9" s="47"/>
      <c r="H9" s="47"/>
      <c r="I9" s="46"/>
    </row>
    <row r="10" spans="1:9" ht="18" customHeight="1">
      <c r="A10" s="58" t="s">
        <v>109</v>
      </c>
      <c r="B10" s="59"/>
      <c r="C10" s="59"/>
      <c r="D10" s="59"/>
      <c r="E10" s="59"/>
      <c r="F10" s="60"/>
      <c r="G10" s="47"/>
      <c r="H10" s="47"/>
      <c r="I10" s="46"/>
    </row>
    <row r="11" spans="1:9" ht="18" customHeight="1">
      <c r="A11" s="58" t="s">
        <v>110</v>
      </c>
      <c r="B11" s="59"/>
      <c r="C11" s="59"/>
      <c r="D11" s="59"/>
      <c r="E11" s="59"/>
      <c r="F11" s="60"/>
      <c r="G11" s="47"/>
      <c r="H11" s="47"/>
      <c r="I11" s="46"/>
    </row>
    <row r="12" spans="1:9" ht="18" customHeight="1">
      <c r="A12" s="58" t="s">
        <v>111</v>
      </c>
      <c r="B12" s="59"/>
      <c r="C12" s="59"/>
      <c r="D12" s="59"/>
      <c r="E12" s="59"/>
      <c r="F12" s="60"/>
      <c r="G12" s="47"/>
      <c r="H12" s="47"/>
      <c r="I12" s="46"/>
    </row>
    <row r="13" spans="1:9" ht="18" customHeight="1">
      <c r="A13" s="58" t="s">
        <v>112</v>
      </c>
      <c r="B13" s="59"/>
      <c r="C13" s="59"/>
      <c r="D13" s="59"/>
      <c r="E13" s="59"/>
      <c r="F13" s="60"/>
      <c r="G13" s="47"/>
      <c r="H13" s="47"/>
      <c r="I13" s="46"/>
    </row>
    <row r="14" spans="1:9" ht="18" customHeight="1">
      <c r="A14" s="58" t="s">
        <v>113</v>
      </c>
      <c r="B14" s="59"/>
      <c r="C14" s="59"/>
      <c r="D14" s="59"/>
      <c r="E14" s="59"/>
      <c r="F14" s="60"/>
      <c r="G14" s="47"/>
      <c r="H14" s="47"/>
      <c r="I14" s="46"/>
    </row>
    <row r="15" spans="1:9" ht="18" customHeight="1">
      <c r="A15" s="58" t="s">
        <v>114</v>
      </c>
      <c r="B15" s="59"/>
      <c r="C15" s="59"/>
      <c r="D15" s="59"/>
      <c r="E15" s="59"/>
      <c r="F15" s="60"/>
      <c r="G15" s="47"/>
      <c r="H15" s="47"/>
      <c r="I15" s="46"/>
    </row>
    <row r="16" spans="1:9" ht="34.5" customHeight="1">
      <c r="A16" s="58" t="s">
        <v>115</v>
      </c>
      <c r="B16" s="59"/>
      <c r="C16" s="59"/>
      <c r="D16" s="59"/>
      <c r="E16" s="59"/>
      <c r="F16" s="60"/>
      <c r="G16" s="47"/>
      <c r="H16" s="47"/>
      <c r="I16" s="46"/>
    </row>
    <row r="17" spans="1:9" ht="18" customHeight="1">
      <c r="A17" s="58" t="s">
        <v>116</v>
      </c>
      <c r="B17" s="59"/>
      <c r="C17" s="59"/>
      <c r="D17" s="59"/>
      <c r="E17" s="59"/>
      <c r="F17" s="60"/>
      <c r="G17" s="47"/>
      <c r="H17" s="47"/>
      <c r="I17" s="46"/>
    </row>
    <row r="18" spans="1:9" ht="27" customHeight="1">
      <c r="A18" s="58" t="s">
        <v>117</v>
      </c>
      <c r="B18" s="59"/>
      <c r="C18" s="59"/>
      <c r="D18" s="59"/>
      <c r="E18" s="59"/>
      <c r="F18" s="60"/>
      <c r="G18" s="47"/>
      <c r="H18" s="47"/>
      <c r="I18" s="46"/>
    </row>
    <row r="19" spans="1:9" ht="18" customHeight="1">
      <c r="A19" s="58" t="s">
        <v>118</v>
      </c>
      <c r="B19" s="59"/>
      <c r="C19" s="59"/>
      <c r="D19" s="59"/>
      <c r="E19" s="59"/>
      <c r="F19" s="60"/>
      <c r="G19" s="47"/>
      <c r="H19" s="47"/>
      <c r="I19" s="46"/>
    </row>
    <row r="20" spans="1:9" ht="18" customHeight="1">
      <c r="A20" s="58" t="s">
        <v>119</v>
      </c>
      <c r="B20" s="59"/>
      <c r="C20" s="59"/>
      <c r="D20" s="59"/>
      <c r="E20" s="59"/>
      <c r="F20" s="60"/>
      <c r="G20" s="47"/>
      <c r="H20" s="47"/>
      <c r="I20" s="46"/>
    </row>
    <row r="21" spans="1:9" ht="18" customHeight="1">
      <c r="A21" s="58" t="s">
        <v>120</v>
      </c>
      <c r="B21" s="59"/>
      <c r="C21" s="59"/>
      <c r="D21" s="59"/>
      <c r="E21" s="59"/>
      <c r="F21" s="60"/>
      <c r="G21" s="47"/>
      <c r="H21" s="47"/>
      <c r="I21" s="46"/>
    </row>
    <row r="22" spans="1:9" ht="18" customHeight="1">
      <c r="A22" s="58" t="s">
        <v>121</v>
      </c>
      <c r="B22" s="59"/>
      <c r="C22" s="59"/>
      <c r="D22" s="59"/>
      <c r="E22" s="59"/>
      <c r="F22" s="60"/>
      <c r="G22" s="47"/>
      <c r="H22" s="47"/>
      <c r="I22" s="46"/>
    </row>
    <row r="23" spans="1:9" ht="18" customHeight="1">
      <c r="A23" s="58" t="s">
        <v>122</v>
      </c>
      <c r="B23" s="59"/>
      <c r="C23" s="59"/>
      <c r="D23" s="59"/>
      <c r="E23" s="59"/>
      <c r="F23" s="60"/>
      <c r="G23" s="47"/>
      <c r="H23" s="47"/>
      <c r="I23" s="46"/>
    </row>
    <row r="24" spans="1:9" ht="18" customHeight="1">
      <c r="A24" s="58" t="s">
        <v>123</v>
      </c>
      <c r="B24" s="59"/>
      <c r="C24" s="59"/>
      <c r="D24" s="59"/>
      <c r="E24" s="59"/>
      <c r="F24" s="60"/>
      <c r="G24" s="47"/>
      <c r="H24" s="47"/>
      <c r="I24" s="46"/>
    </row>
  </sheetData>
  <mergeCells count="23">
    <mergeCell ref="A1:B1"/>
    <mergeCell ref="A2:G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4:F24"/>
    <mergeCell ref="A20:F20"/>
    <mergeCell ref="A21:F21"/>
    <mergeCell ref="A22:F22"/>
    <mergeCell ref="A23:F2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campagnaro</dc:creator>
  <cp:keywords/>
  <dc:description/>
  <cp:lastModifiedBy>CAMPAGNARO</cp:lastModifiedBy>
  <cp:lastPrinted>2005-03-18T10:51:38Z</cp:lastPrinted>
  <dcterms:created xsi:type="dcterms:W3CDTF">2004-06-03T11:12:37Z</dcterms:created>
  <dcterms:modified xsi:type="dcterms:W3CDTF">2005-03-18T11:43:16Z</dcterms:modified>
  <cp:category/>
  <cp:version/>
  <cp:contentType/>
  <cp:contentStatus/>
</cp:coreProperties>
</file>